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pdprshadom06.penndot.lcl\Public\Bureaus\BOMO\Portal\"/>
    </mc:Choice>
  </mc:AlternateContent>
  <xr:revisionPtr revIDLastSave="0" documentId="8_{14A006E3-71C3-4180-8A74-784523DE2FF4}" xr6:coauthVersionLast="46" xr6:coauthVersionMax="46" xr10:uidLastSave="{00000000-0000-0000-0000-000000000000}"/>
  <bookViews>
    <workbookView xWindow="28680" yWindow="-120" windowWidth="29040" windowHeight="17640" xr2:uid="{00000000-000D-0000-FFFF-FFFF00000000}"/>
  </bookViews>
  <sheets>
    <sheet name="Introduction &amp; Revisions" sheetId="6" r:id="rId1"/>
    <sheet name="Instruction and Input Diagrams" sheetId="9" r:id="rId2"/>
    <sheet name="Input" sheetId="7" r:id="rId3"/>
    <sheet name="Output" sheetId="10" r:id="rId4"/>
    <sheet name="Post" sheetId="3" r:id="rId5"/>
    <sheet name="Base Plate" sheetId="4" r:id="rId6"/>
    <sheet name="Pick List Data" sheetId="8" r:id="rId7"/>
    <sheet name="Maximum Stress Tables" sheetId="12" r:id="rId8"/>
    <sheet name="Allowable Stress Tables" sheetId="11" r:id="rId9"/>
  </sheets>
  <definedNames>
    <definedName name="M1SideMaxWeld">#REF!</definedName>
    <definedName name="M1SideMinWeld">#REF!</definedName>
    <definedName name="M1SideWeld">#REF!</definedName>
    <definedName name="M1TopMaxWeld">#REF!</definedName>
    <definedName name="M1TopMinWeld">#REF!</definedName>
    <definedName name="M1TopWeld">#REF!</definedName>
    <definedName name="M2SideMaxWeld">#REF!</definedName>
    <definedName name="M2SideMinWeld">#REF!</definedName>
    <definedName name="M2SideWeld">#REF!</definedName>
    <definedName name="M2TopMaxWeld">#REF!</definedName>
    <definedName name="M2TopMinWeld">#REF!</definedName>
    <definedName name="M2TopWeld">#REF!</definedName>
    <definedName name="_xlnm.Print_Area" localSheetId="5">'Base Plate'!$A$1:$L$97</definedName>
    <definedName name="_xlnm.Print_Area" localSheetId="2">Input!$A$1:$I$97</definedName>
    <definedName name="_xlnm.Print_Area" localSheetId="1">'Instruction and Input Diagrams'!$A$1:$L$83</definedName>
    <definedName name="_xlnm.Print_Area" localSheetId="0">'Introduction &amp; Revisions'!$A$1:$G$88</definedName>
    <definedName name="_xlnm.Print_Area" localSheetId="3">Output!$A$1:$H$57</definedName>
    <definedName name="_xlnm.Print_Area" localSheetId="4">Post!$A$1:$J$479</definedName>
    <definedName name="_xlnm.Print_Titles" localSheetId="2">Input!$1:$7</definedName>
    <definedName name="_xlnm.Print_Titles" localSheetId="0">'Introduction &amp; Revisions'!$1:$2</definedName>
    <definedName name="_xlnm.Print_Titles" localSheetId="3">Output!$1:$7</definedName>
    <definedName name="_xlnm.Print_Titles" localSheetId="4">Post!$1:$3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7" l="1"/>
  <c r="F59" i="7" s="1"/>
  <c r="D94" i="7"/>
  <c r="F14" i="4" s="1"/>
  <c r="D97" i="7"/>
  <c r="E14" i="10"/>
  <c r="H342" i="3"/>
  <c r="H343" i="3"/>
  <c r="E341" i="3"/>
  <c r="G341" i="3"/>
  <c r="G354" i="3" s="1"/>
  <c r="D342" i="3"/>
  <c r="D343" i="3"/>
  <c r="E344" i="3"/>
  <c r="G344" i="3"/>
  <c r="C342" i="3"/>
  <c r="C343" i="3"/>
  <c r="C344" i="3"/>
  <c r="C341" i="3"/>
  <c r="C356" i="3" s="1"/>
  <c r="C299" i="3"/>
  <c r="D299" i="3"/>
  <c r="H299" i="3"/>
  <c r="C300" i="3"/>
  <c r="D300" i="3"/>
  <c r="H300" i="3"/>
  <c r="C301" i="3"/>
  <c r="E301" i="3"/>
  <c r="G301" i="3"/>
  <c r="E298" i="3"/>
  <c r="C298" i="3"/>
  <c r="C313" i="3"/>
  <c r="C255" i="3"/>
  <c r="D255" i="3"/>
  <c r="H255" i="3"/>
  <c r="C256" i="3"/>
  <c r="D256" i="3"/>
  <c r="H256" i="3"/>
  <c r="C257" i="3"/>
  <c r="E257" i="3"/>
  <c r="G257" i="3"/>
  <c r="E254" i="3"/>
  <c r="G254" i="3"/>
  <c r="C254" i="3"/>
  <c r="C267" i="3" s="1"/>
  <c r="G38" i="3"/>
  <c r="G65" i="3"/>
  <c r="G66" i="3"/>
  <c r="G78" i="3"/>
  <c r="G79" i="3"/>
  <c r="G86" i="3"/>
  <c r="G87" i="3"/>
  <c r="G96" i="3"/>
  <c r="G109" i="3"/>
  <c r="G118" i="3"/>
  <c r="D150" i="3"/>
  <c r="D157" i="3"/>
  <c r="D164" i="3"/>
  <c r="G210" i="3"/>
  <c r="G222" i="3"/>
  <c r="G213" i="3"/>
  <c r="G402" i="3"/>
  <c r="G412" i="3" s="1"/>
  <c r="G441" i="3" s="1"/>
  <c r="E213" i="3"/>
  <c r="C213" i="3"/>
  <c r="D212" i="3"/>
  <c r="H212" i="3"/>
  <c r="C212" i="3"/>
  <c r="D211" i="3"/>
  <c r="H211" i="3"/>
  <c r="C211" i="3"/>
  <c r="E210" i="3"/>
  <c r="C210" i="3"/>
  <c r="C164" i="3"/>
  <c r="C157" i="3"/>
  <c r="C150" i="3"/>
  <c r="D129" i="3"/>
  <c r="C124" i="3"/>
  <c r="E140" i="3" s="1"/>
  <c r="C312" i="3"/>
  <c r="G267" i="3"/>
  <c r="A11" i="3"/>
  <c r="H20" i="3" s="1"/>
  <c r="H38" i="8"/>
  <c r="C33" i="8"/>
  <c r="J54" i="8" s="1"/>
  <c r="K54" i="8" s="1"/>
  <c r="I39" i="8"/>
  <c r="I40" i="8"/>
  <c r="I41" i="8"/>
  <c r="I42" i="8"/>
  <c r="I43" i="8"/>
  <c r="I44" i="8"/>
  <c r="I45" i="8"/>
  <c r="I46" i="8"/>
  <c r="I47" i="8"/>
  <c r="I48" i="8"/>
  <c r="I49" i="8"/>
  <c r="I50" i="8"/>
  <c r="I51" i="8"/>
  <c r="I52" i="8"/>
  <c r="I53" i="8"/>
  <c r="I54" i="8"/>
  <c r="I55" i="8"/>
  <c r="I38" i="8"/>
  <c r="E39" i="8"/>
  <c r="E40" i="8"/>
  <c r="G40" i="8"/>
  <c r="E41" i="8"/>
  <c r="F41" i="8" s="1"/>
  <c r="H41" i="8" s="1"/>
  <c r="E42" i="8"/>
  <c r="F42" i="8" s="1"/>
  <c r="H42" i="8" s="1"/>
  <c r="E43" i="8"/>
  <c r="E44" i="8"/>
  <c r="E45" i="8"/>
  <c r="G45" i="8" s="1"/>
  <c r="F45" i="8"/>
  <c r="H45" i="8" s="1"/>
  <c r="E46" i="8"/>
  <c r="E47" i="8"/>
  <c r="F47" i="8" s="1"/>
  <c r="H47" i="8" s="1"/>
  <c r="E48" i="8"/>
  <c r="G48" i="8" s="1"/>
  <c r="E49" i="8"/>
  <c r="F49" i="8" s="1"/>
  <c r="H49" i="8" s="1"/>
  <c r="E50" i="8"/>
  <c r="F50" i="8" s="1"/>
  <c r="H50" i="8"/>
  <c r="E51" i="8"/>
  <c r="E52" i="8"/>
  <c r="G52" i="8"/>
  <c r="E53" i="8"/>
  <c r="F53" i="8"/>
  <c r="H53" i="8" s="1"/>
  <c r="E54" i="8"/>
  <c r="F54" i="8"/>
  <c r="H54" i="8" s="1"/>
  <c r="E55" i="8"/>
  <c r="G55" i="8" s="1"/>
  <c r="E38" i="8"/>
  <c r="G38" i="8" s="1"/>
  <c r="B39" i="8"/>
  <c r="B40" i="8"/>
  <c r="B41" i="8"/>
  <c r="B42" i="8"/>
  <c r="B43" i="8"/>
  <c r="B45" i="8"/>
  <c r="B46" i="8"/>
  <c r="B47" i="8"/>
  <c r="B48" i="8"/>
  <c r="B49" i="8"/>
  <c r="B50" i="8"/>
  <c r="B51" i="8"/>
  <c r="B52" i="8"/>
  <c r="B38" i="8"/>
  <c r="C173" i="3" s="1"/>
  <c r="D81" i="7"/>
  <c r="F10" i="4" s="1"/>
  <c r="F76" i="4"/>
  <c r="A20" i="6"/>
  <c r="A21" i="6" s="1"/>
  <c r="A22" i="6" s="1"/>
  <c r="A23" i="6" s="1"/>
  <c r="A24" i="6" s="1"/>
  <c r="A25" i="6" s="1"/>
  <c r="A26" i="6" s="1"/>
  <c r="A27" i="6" s="1"/>
  <c r="A28" i="6" s="1"/>
  <c r="A29" i="6" s="1"/>
  <c r="A30" i="6" s="1"/>
  <c r="C2" i="3"/>
  <c r="C1" i="3"/>
  <c r="D185" i="3"/>
  <c r="D183" i="3"/>
  <c r="E183" i="3" s="1"/>
  <c r="F32" i="7"/>
  <c r="E173" i="3" s="1"/>
  <c r="A12" i="3"/>
  <c r="C65" i="8"/>
  <c r="C64" i="8"/>
  <c r="C63" i="8"/>
  <c r="D49" i="7"/>
  <c r="A9" i="3" s="1"/>
  <c r="D80" i="7"/>
  <c r="F9" i="4" s="1"/>
  <c r="F69" i="4" s="1"/>
  <c r="E53" i="10" s="1"/>
  <c r="B147" i="8"/>
  <c r="B146" i="8"/>
  <c r="B145" i="8"/>
  <c r="B144" i="8"/>
  <c r="B143" i="8"/>
  <c r="B142" i="8"/>
  <c r="B141" i="8"/>
  <c r="B140" i="8"/>
  <c r="B139" i="8"/>
  <c r="B138" i="8"/>
  <c r="B137" i="8"/>
  <c r="B136" i="8"/>
  <c r="B135" i="8"/>
  <c r="B134" i="8"/>
  <c r="F20" i="4"/>
  <c r="D49" i="10"/>
  <c r="F19" i="4"/>
  <c r="F85" i="4" s="1"/>
  <c r="I11" i="4"/>
  <c r="I9" i="4"/>
  <c r="I10" i="4" s="1"/>
  <c r="B8" i="3"/>
  <c r="D33" i="3"/>
  <c r="D35" i="3"/>
  <c r="D34" i="3"/>
  <c r="D40" i="3" s="1"/>
  <c r="H402" i="3"/>
  <c r="H412" i="3"/>
  <c r="H441" i="3" s="1"/>
  <c r="B57" i="11"/>
  <c r="B39" i="11"/>
  <c r="H287" i="3"/>
  <c r="G298" i="3" s="1"/>
  <c r="F118" i="3"/>
  <c r="F109" i="3"/>
  <c r="F96" i="3"/>
  <c r="J86" i="3"/>
  <c r="F87" i="3"/>
  <c r="F86" i="3"/>
  <c r="J78" i="3"/>
  <c r="F79" i="3"/>
  <c r="F78" i="3"/>
  <c r="J65" i="3"/>
  <c r="F66" i="3"/>
  <c r="F65" i="3"/>
  <c r="E172" i="3"/>
  <c r="B174" i="3"/>
  <c r="C174" i="3" s="1"/>
  <c r="B173" i="3"/>
  <c r="B172" i="3"/>
  <c r="G172" i="3" s="1"/>
  <c r="C189" i="3" s="1"/>
  <c r="F33" i="7"/>
  <c r="E174" i="3"/>
  <c r="D18" i="8"/>
  <c r="D17" i="8"/>
  <c r="B18" i="3"/>
  <c r="G28" i="3" s="1"/>
  <c r="B24" i="3"/>
  <c r="B8" i="11"/>
  <c r="B23" i="3"/>
  <c r="B22" i="3" s="1"/>
  <c r="B21" i="3"/>
  <c r="F6" i="4"/>
  <c r="F21" i="4" s="1"/>
  <c r="A10" i="3"/>
  <c r="B94" i="3" s="1"/>
  <c r="B6" i="10"/>
  <c r="B5" i="10"/>
  <c r="D5" i="10"/>
  <c r="D6" i="10"/>
  <c r="B3" i="10"/>
  <c r="B4" i="10"/>
  <c r="D85" i="7"/>
  <c r="F11" i="4" s="1"/>
  <c r="F50" i="4" s="1"/>
  <c r="E51" i="10" s="1"/>
  <c r="D3" i="8"/>
  <c r="D4" i="8"/>
  <c r="D5" i="8"/>
  <c r="D6" i="8"/>
  <c r="D7" i="8"/>
  <c r="D8" i="8"/>
  <c r="D9" i="8"/>
  <c r="D10" i="8"/>
  <c r="D11" i="8"/>
  <c r="D12" i="8"/>
  <c r="D13" i="8"/>
  <c r="D14" i="8"/>
  <c r="D15" i="8"/>
  <c r="D16" i="8"/>
  <c r="C185" i="3"/>
  <c r="B70" i="3"/>
  <c r="C101" i="3"/>
  <c r="C183" i="3"/>
  <c r="C184" i="3"/>
  <c r="B101" i="3"/>
  <c r="F52" i="8"/>
  <c r="H52" i="8" s="1"/>
  <c r="G54" i="8"/>
  <c r="F40" i="8"/>
  <c r="H40" i="8" s="1"/>
  <c r="J42" i="8"/>
  <c r="K42" i="8" s="1"/>
  <c r="J48" i="8"/>
  <c r="K48" i="8"/>
  <c r="J52" i="8"/>
  <c r="K52" i="8" s="1"/>
  <c r="J53" i="8"/>
  <c r="K53" i="8"/>
  <c r="J45" i="8"/>
  <c r="K45" i="8" s="1"/>
  <c r="J41" i="8"/>
  <c r="K41" i="8" s="1"/>
  <c r="J51" i="8"/>
  <c r="K51" i="8" s="1"/>
  <c r="J47" i="8"/>
  <c r="K47" i="8" s="1"/>
  <c r="J39" i="8"/>
  <c r="K39" i="8" s="1"/>
  <c r="G53" i="8"/>
  <c r="G49" i="8"/>
  <c r="G47" i="8"/>
  <c r="D140" i="3"/>
  <c r="F43" i="8"/>
  <c r="H43" i="8" s="1"/>
  <c r="G43" i="8"/>
  <c r="F51" i="8"/>
  <c r="H51" i="8" s="1"/>
  <c r="G51" i="8"/>
  <c r="H341" i="3"/>
  <c r="H354" i="3" s="1"/>
  <c r="H210" i="3"/>
  <c r="H224" i="3" s="1"/>
  <c r="H254" i="3"/>
  <c r="H268" i="3"/>
  <c r="H298" i="3"/>
  <c r="H313" i="3" s="1"/>
  <c r="H301" i="3"/>
  <c r="H213" i="3"/>
  <c r="H344" i="3"/>
  <c r="H257" i="3"/>
  <c r="D95" i="7"/>
  <c r="F78" i="4" s="1"/>
  <c r="E55" i="10" s="1"/>
  <c r="F75" i="4"/>
  <c r="F91" i="4" s="1"/>
  <c r="D96" i="7"/>
  <c r="C311" i="3"/>
  <c r="H267" i="3"/>
  <c r="B58" i="11"/>
  <c r="E59" i="11" s="1"/>
  <c r="E62" i="11" s="1"/>
  <c r="G403" i="3" s="1"/>
  <c r="E60" i="11"/>
  <c r="B4" i="11"/>
  <c r="E6" i="11" s="1"/>
  <c r="E21" i="3"/>
  <c r="D139" i="3"/>
  <c r="B26" i="11"/>
  <c r="B62" i="11"/>
  <c r="B44" i="11"/>
  <c r="D173" i="3"/>
  <c r="G173" i="3" s="1"/>
  <c r="D184" i="3"/>
  <c r="F67" i="4"/>
  <c r="H459" i="3"/>
  <c r="F38" i="10"/>
  <c r="H312" i="3"/>
  <c r="H222" i="3"/>
  <c r="H223" i="3"/>
  <c r="B27" i="3"/>
  <c r="G449" i="3"/>
  <c r="G459" i="3"/>
  <c r="G460" i="3" s="1"/>
  <c r="B22" i="11"/>
  <c r="H28" i="3"/>
  <c r="E28" i="3"/>
  <c r="C172" i="3"/>
  <c r="D174" i="3"/>
  <c r="G174" i="3"/>
  <c r="C222" i="3"/>
  <c r="C223" i="3"/>
  <c r="C224" i="3"/>
  <c r="B61" i="11"/>
  <c r="C416" i="3"/>
  <c r="D172" i="3"/>
  <c r="F28" i="3"/>
  <c r="J28" i="3"/>
  <c r="E184" i="3"/>
  <c r="E24" i="11"/>
  <c r="O35" i="3"/>
  <c r="E22" i="3"/>
  <c r="C94" i="3"/>
  <c r="C110" i="3" s="1"/>
  <c r="B103" i="8" l="1"/>
  <c r="B105" i="8" s="1"/>
  <c r="B104" i="8"/>
  <c r="B106" i="8" s="1"/>
  <c r="I66" i="3"/>
  <c r="F157" i="3"/>
  <c r="I109" i="3"/>
  <c r="F150" i="3"/>
  <c r="D94" i="3"/>
  <c r="J97" i="3"/>
  <c r="C93" i="3"/>
  <c r="B110" i="3" s="1"/>
  <c r="J67" i="3"/>
  <c r="I40" i="3"/>
  <c r="C269" i="3"/>
  <c r="G41" i="8"/>
  <c r="G42" i="8"/>
  <c r="H458" i="3"/>
  <c r="I458" i="3" s="1"/>
  <c r="F174" i="3"/>
  <c r="I28" i="3"/>
  <c r="H311" i="3"/>
  <c r="J29" i="3"/>
  <c r="D469" i="3"/>
  <c r="E476" i="3" s="1"/>
  <c r="D41" i="10" s="1"/>
  <c r="J43" i="8"/>
  <c r="K43" i="8" s="1"/>
  <c r="J49" i="8"/>
  <c r="K49" i="8" s="1"/>
  <c r="J50" i="8"/>
  <c r="K50" i="8" s="1"/>
  <c r="J40" i="8"/>
  <c r="K40" i="8" s="1"/>
  <c r="G50" i="8"/>
  <c r="F55" i="8"/>
  <c r="H55" i="8" s="1"/>
  <c r="C268" i="3"/>
  <c r="C355" i="3"/>
  <c r="H355" i="3"/>
  <c r="C106" i="3"/>
  <c r="D138" i="3"/>
  <c r="J23" i="3"/>
  <c r="I464" i="3"/>
  <c r="C179" i="3"/>
  <c r="F15" i="4"/>
  <c r="B411" i="3"/>
  <c r="B26" i="3"/>
  <c r="E27" i="3" s="1"/>
  <c r="B28" i="3"/>
  <c r="C107" i="3"/>
  <c r="H356" i="3"/>
  <c r="J46" i="8"/>
  <c r="K46" i="8" s="1"/>
  <c r="F48" i="8"/>
  <c r="H48" i="8" s="1"/>
  <c r="J55" i="8"/>
  <c r="K55" i="8" s="1"/>
  <c r="J38" i="8"/>
  <c r="K38" i="8" s="1"/>
  <c r="G20" i="3"/>
  <c r="E249" i="3" s="1"/>
  <c r="C354" i="3"/>
  <c r="H269" i="3"/>
  <c r="F183" i="3"/>
  <c r="F184" i="3"/>
  <c r="E138" i="3"/>
  <c r="J22" i="3"/>
  <c r="B106" i="3"/>
  <c r="B107" i="3" s="1"/>
  <c r="I20" i="3"/>
  <c r="B20" i="3" s="1"/>
  <c r="I459" i="3"/>
  <c r="B93" i="3"/>
  <c r="D93" i="3" s="1"/>
  <c r="J98" i="3" s="1"/>
  <c r="J44" i="8"/>
  <c r="K44" i="8" s="1"/>
  <c r="G450" i="3"/>
  <c r="G458" i="3"/>
  <c r="B40" i="11"/>
  <c r="E42" i="11" s="1"/>
  <c r="I462" i="3"/>
  <c r="D38" i="10" s="1"/>
  <c r="B458" i="3"/>
  <c r="E139" i="3"/>
  <c r="D134" i="3"/>
  <c r="D133" i="3"/>
  <c r="F46" i="8"/>
  <c r="H46" i="8" s="1"/>
  <c r="G46" i="8"/>
  <c r="G311" i="3"/>
  <c r="C425" i="3"/>
  <c r="B60" i="11"/>
  <c r="B42" i="11"/>
  <c r="B24" i="11"/>
  <c r="C435" i="3"/>
  <c r="B6" i="11"/>
  <c r="G413" i="3"/>
  <c r="G414" i="3" s="1"/>
  <c r="E32" i="10" s="1"/>
  <c r="E164" i="3"/>
  <c r="E150" i="3"/>
  <c r="I402" i="3"/>
  <c r="I412" i="3" s="1"/>
  <c r="I441" i="3" s="1"/>
  <c r="H118" i="3"/>
  <c r="H87" i="3"/>
  <c r="E246" i="3"/>
  <c r="B412" i="3"/>
  <c r="E337" i="3"/>
  <c r="E294" i="3"/>
  <c r="E23" i="3"/>
  <c r="N433" i="3" s="1"/>
  <c r="E25" i="3"/>
  <c r="F449" i="3"/>
  <c r="F459" i="3" s="1"/>
  <c r="F460" i="3" s="1"/>
  <c r="F458" i="3"/>
  <c r="E29" i="3"/>
  <c r="G359" i="3" s="1"/>
  <c r="F450" i="3"/>
  <c r="J109" i="3"/>
  <c r="G157" i="3"/>
  <c r="J96" i="3"/>
  <c r="F44" i="4"/>
  <c r="E50" i="10" s="1"/>
  <c r="D98" i="8"/>
  <c r="C98" i="8"/>
  <c r="B98" i="8"/>
  <c r="G19" i="3"/>
  <c r="B25" i="3"/>
  <c r="H19" i="3"/>
  <c r="I87" i="3"/>
  <c r="D449" i="3"/>
  <c r="D459" i="3" s="1"/>
  <c r="I96" i="3"/>
  <c r="B3" i="11"/>
  <c r="D450" i="3"/>
  <c r="J402" i="3"/>
  <c r="J412" i="3" s="1"/>
  <c r="J441" i="3" s="1"/>
  <c r="I118" i="3"/>
  <c r="C423" i="3"/>
  <c r="H452" i="3"/>
  <c r="E185" i="3"/>
  <c r="F185" i="3" s="1"/>
  <c r="I98" i="3"/>
  <c r="G203" i="3" s="1"/>
  <c r="F210" i="3" s="1"/>
  <c r="H98" i="3"/>
  <c r="G242" i="3" s="1"/>
  <c r="F254" i="3" s="1"/>
  <c r="F164" i="3"/>
  <c r="D95" i="8"/>
  <c r="E49" i="10"/>
  <c r="F49" i="10" s="1"/>
  <c r="F22" i="4"/>
  <c r="G44" i="8"/>
  <c r="F44" i="8"/>
  <c r="H44" i="8" s="1"/>
  <c r="G98" i="3"/>
  <c r="G287" i="3" s="1"/>
  <c r="F298" i="3" s="1"/>
  <c r="J118" i="3"/>
  <c r="E26" i="3"/>
  <c r="H184" i="3"/>
  <c r="G184" i="3"/>
  <c r="F39" i="8"/>
  <c r="H39" i="8" s="1"/>
  <c r="G39" i="8"/>
  <c r="F16" i="4"/>
  <c r="F74" i="4"/>
  <c r="E24" i="3"/>
  <c r="D361" i="3" s="1"/>
  <c r="C24" i="12" s="1"/>
  <c r="I79" i="3"/>
  <c r="D132" i="3"/>
  <c r="B75" i="3"/>
  <c r="B101" i="8" s="1"/>
  <c r="F98" i="3" l="1"/>
  <c r="G330" i="3" s="1"/>
  <c r="F341" i="3" s="1"/>
  <c r="I21" i="3"/>
  <c r="F247" i="3"/>
  <c r="F248" i="3"/>
  <c r="H183" i="3"/>
  <c r="G183" i="3"/>
  <c r="F119" i="3"/>
  <c r="F120" i="3"/>
  <c r="B21" i="11"/>
  <c r="H96" i="3"/>
  <c r="J26" i="3"/>
  <c r="J24" i="3"/>
  <c r="E458" i="3"/>
  <c r="J25" i="3"/>
  <c r="G164" i="3"/>
  <c r="J66" i="3"/>
  <c r="J87" i="3"/>
  <c r="G150" i="3"/>
  <c r="J79" i="3"/>
  <c r="G248" i="3"/>
  <c r="G247" i="3"/>
  <c r="H66" i="3"/>
  <c r="E157" i="3"/>
  <c r="E334" i="3"/>
  <c r="E291" i="3"/>
  <c r="H97" i="3"/>
  <c r="I97" i="3"/>
  <c r="E203" i="3" s="1"/>
  <c r="H79" i="3"/>
  <c r="G21" i="3"/>
  <c r="G22" i="3" s="1"/>
  <c r="H109" i="3"/>
  <c r="J20" i="3"/>
  <c r="J21" i="3" s="1"/>
  <c r="J27" i="3" s="1"/>
  <c r="H65" i="3"/>
  <c r="H86" i="3"/>
  <c r="H78" i="3"/>
  <c r="I22" i="3"/>
  <c r="I27" i="3"/>
  <c r="B25" i="11"/>
  <c r="E23" i="11" s="1"/>
  <c r="E26" i="11" s="1"/>
  <c r="I403" i="3" s="1"/>
  <c r="E98" i="8"/>
  <c r="E94" i="8"/>
  <c r="C96" i="8"/>
  <c r="E96" i="8" s="1"/>
  <c r="B71" i="3" s="1"/>
  <c r="E97" i="8"/>
  <c r="C94" i="8"/>
  <c r="G27" i="3"/>
  <c r="C15" i="11"/>
  <c r="D12" i="11"/>
  <c r="C14" i="11"/>
  <c r="C403" i="3" s="1"/>
  <c r="D15" i="11"/>
  <c r="D16" i="11"/>
  <c r="D14" i="11"/>
  <c r="C404" i="3" s="1"/>
  <c r="B16" i="11"/>
  <c r="D13" i="11"/>
  <c r="C16" i="11"/>
  <c r="C12" i="11"/>
  <c r="B14" i="11"/>
  <c r="C402" i="3" s="1"/>
  <c r="E15" i="11"/>
  <c r="E13" i="11"/>
  <c r="B12" i="11"/>
  <c r="C13" i="11"/>
  <c r="E12" i="11"/>
  <c r="E14" i="11"/>
  <c r="E16" i="11"/>
  <c r="B13" i="11"/>
  <c r="B15" i="11"/>
  <c r="F66" i="4"/>
  <c r="F38" i="4"/>
  <c r="F39" i="4" s="1"/>
  <c r="E37" i="10"/>
  <c r="I463" i="3"/>
  <c r="E38" i="10" s="1"/>
  <c r="B72" i="3"/>
  <c r="D458" i="3"/>
  <c r="D460" i="3"/>
  <c r="B103" i="3"/>
  <c r="B104" i="3" s="1"/>
  <c r="C103" i="3"/>
  <c r="C104" i="3" s="1"/>
  <c r="D144" i="3"/>
  <c r="E132" i="3"/>
  <c r="E144" i="3" s="1"/>
  <c r="D145" i="3"/>
  <c r="E133" i="3"/>
  <c r="E145" i="3" s="1"/>
  <c r="D359" i="3"/>
  <c r="C22" i="12" s="1"/>
  <c r="E33" i="11"/>
  <c r="C32" i="11"/>
  <c r="B33" i="11"/>
  <c r="D33" i="11"/>
  <c r="F34" i="11"/>
  <c r="E32" i="11"/>
  <c r="E31" i="11"/>
  <c r="B32" i="11"/>
  <c r="D32" i="11"/>
  <c r="B30" i="11"/>
  <c r="C31" i="11"/>
  <c r="C33" i="11"/>
  <c r="E34" i="11"/>
  <c r="G34" i="11"/>
  <c r="D31" i="11"/>
  <c r="D30" i="11"/>
  <c r="B31" i="11"/>
  <c r="B34" i="11"/>
  <c r="C34" i="11"/>
  <c r="G33" i="11"/>
  <c r="E30" i="11"/>
  <c r="D34" i="11"/>
  <c r="C30" i="11"/>
  <c r="E134" i="3"/>
  <c r="E146" i="3" s="1"/>
  <c r="D146" i="3"/>
  <c r="D360" i="3"/>
  <c r="C23" i="12" s="1"/>
  <c r="I65" i="3"/>
  <c r="I86" i="3"/>
  <c r="I78" i="3"/>
  <c r="E49" i="11"/>
  <c r="D49" i="11"/>
  <c r="B48" i="11"/>
  <c r="E48" i="11"/>
  <c r="C51" i="11"/>
  <c r="D48" i="11"/>
  <c r="E51" i="11"/>
  <c r="D50" i="11"/>
  <c r="D52" i="11"/>
  <c r="B49" i="11"/>
  <c r="C49" i="11"/>
  <c r="C52" i="11"/>
  <c r="C50" i="11"/>
  <c r="B50" i="11"/>
  <c r="E50" i="11"/>
  <c r="B52" i="11"/>
  <c r="C48" i="11"/>
  <c r="D51" i="11"/>
  <c r="B51" i="11"/>
  <c r="E52" i="11"/>
  <c r="F77" i="4"/>
  <c r="F86" i="4"/>
  <c r="F93" i="4" s="1"/>
  <c r="C95" i="8"/>
  <c r="E95" i="8" s="1"/>
  <c r="G185" i="3"/>
  <c r="H185" i="3"/>
  <c r="H186" i="3" s="1"/>
  <c r="F186" i="3"/>
  <c r="D474" i="3"/>
  <c r="F21" i="3"/>
  <c r="H21" i="3"/>
  <c r="O464" i="3"/>
  <c r="N465" i="3"/>
  <c r="B416" i="3"/>
  <c r="B414" i="3"/>
  <c r="C66" i="11"/>
  <c r="D66" i="11"/>
  <c r="G67" i="11"/>
  <c r="F68" i="11"/>
  <c r="E66" i="11"/>
  <c r="F66" i="11"/>
  <c r="F69" i="11"/>
  <c r="C68" i="11"/>
  <c r="B68" i="11"/>
  <c r="G69" i="11"/>
  <c r="C70" i="11"/>
  <c r="B70" i="11"/>
  <c r="B69" i="11"/>
  <c r="E67" i="11"/>
  <c r="D68" i="11"/>
  <c r="C67" i="11"/>
  <c r="G68" i="11"/>
  <c r="C69" i="11"/>
  <c r="E70" i="11"/>
  <c r="D70" i="11"/>
  <c r="G70" i="11"/>
  <c r="E68" i="11"/>
  <c r="D69" i="11"/>
  <c r="G66" i="11"/>
  <c r="B66" i="11"/>
  <c r="F67" i="11"/>
  <c r="D67" i="11"/>
  <c r="F70" i="11"/>
  <c r="B67" i="11"/>
  <c r="E69" i="11"/>
  <c r="G333" i="3" l="1"/>
  <c r="F344" i="3" s="1"/>
  <c r="G120" i="3"/>
  <c r="G290" i="3" s="1"/>
  <c r="F301" i="3" s="1"/>
  <c r="J120" i="3"/>
  <c r="I120" i="3" s="1"/>
  <c r="G206" i="3" s="1"/>
  <c r="F213" i="3" s="1"/>
  <c r="H120" i="3"/>
  <c r="G245" i="3" s="1"/>
  <c r="F257" i="3" s="1"/>
  <c r="E333" i="3"/>
  <c r="J119" i="3"/>
  <c r="I119" i="3" s="1"/>
  <c r="E206" i="3" s="1"/>
  <c r="H119" i="3"/>
  <c r="E245" i="3" s="1"/>
  <c r="G119" i="3"/>
  <c r="E290" i="3" s="1"/>
  <c r="G31" i="11"/>
  <c r="F30" i="11"/>
  <c r="G186" i="3"/>
  <c r="F31" i="11"/>
  <c r="F33" i="11"/>
  <c r="J88" i="3"/>
  <c r="G32" i="11"/>
  <c r="G97" i="3"/>
  <c r="E242" i="3"/>
  <c r="F32" i="11"/>
  <c r="G30" i="11"/>
  <c r="G293" i="3"/>
  <c r="G292" i="3"/>
  <c r="G335" i="3"/>
  <c r="G336" i="3"/>
  <c r="E478" i="3"/>
  <c r="D43" i="10" s="1"/>
  <c r="E477" i="3"/>
  <c r="D42" i="10" s="1"/>
  <c r="C151" i="3"/>
  <c r="F151" i="3"/>
  <c r="D151" i="3"/>
  <c r="E151" i="3"/>
  <c r="B73" i="3"/>
  <c r="O36" i="3"/>
  <c r="F22" i="3"/>
  <c r="O34" i="3"/>
  <c r="B43" i="11"/>
  <c r="E41" i="11" s="1"/>
  <c r="E44" i="11" s="1"/>
  <c r="F27" i="3"/>
  <c r="C153" i="3"/>
  <c r="D348" i="3" s="1"/>
  <c r="D153" i="3"/>
  <c r="D305" i="3" s="1"/>
  <c r="E153" i="3"/>
  <c r="D261" i="3" s="1"/>
  <c r="F153" i="3"/>
  <c r="D217" i="3" s="1"/>
  <c r="E460" i="3"/>
  <c r="I24" i="3"/>
  <c r="I26" i="3"/>
  <c r="I23" i="3"/>
  <c r="I29" i="3"/>
  <c r="I25" i="3"/>
  <c r="F335" i="3"/>
  <c r="F292" i="3"/>
  <c r="F336" i="3"/>
  <c r="F293" i="3"/>
  <c r="E165" i="3"/>
  <c r="F165" i="3"/>
  <c r="D165" i="3"/>
  <c r="C165" i="3"/>
  <c r="B108" i="3"/>
  <c r="B105" i="3"/>
  <c r="B109" i="3" s="1"/>
  <c r="C105" i="3"/>
  <c r="C109" i="3" s="1"/>
  <c r="J115" i="3" s="1"/>
  <c r="C108" i="3"/>
  <c r="J112" i="3" s="1"/>
  <c r="G404" i="3"/>
  <c r="E31" i="10" s="1"/>
  <c r="D160" i="3"/>
  <c r="D306" i="3" s="1"/>
  <c r="E160" i="3"/>
  <c r="D262" i="3" s="1"/>
  <c r="C160" i="3"/>
  <c r="D349" i="3" s="1"/>
  <c r="F160" i="3"/>
  <c r="D218" i="3" s="1"/>
  <c r="D158" i="3"/>
  <c r="F158" i="3"/>
  <c r="C158" i="3"/>
  <c r="E158" i="3"/>
  <c r="I404" i="3"/>
  <c r="E18" i="10" s="1"/>
  <c r="I413" i="3"/>
  <c r="I414" i="3" s="1"/>
  <c r="E19" i="10" s="1"/>
  <c r="D57" i="10"/>
  <c r="G29" i="3"/>
  <c r="G272" i="3" s="1"/>
  <c r="G25" i="3"/>
  <c r="G24" i="3"/>
  <c r="G23" i="3"/>
  <c r="G26" i="3"/>
  <c r="C424" i="3" s="1"/>
  <c r="C421" i="3" s="1"/>
  <c r="F167" i="3"/>
  <c r="D219" i="3" s="1"/>
  <c r="D167" i="3"/>
  <c r="D307" i="3" s="1"/>
  <c r="C167" i="3"/>
  <c r="D350" i="3" s="1"/>
  <c r="E167" i="3"/>
  <c r="D263" i="3" s="1"/>
  <c r="H27" i="3"/>
  <c r="I88" i="3" s="1"/>
  <c r="B7" i="11"/>
  <c r="E5" i="11" s="1"/>
  <c r="E8" i="11" s="1"/>
  <c r="H22" i="3"/>
  <c r="D55" i="10"/>
  <c r="F55" i="10" s="1"/>
  <c r="F79" i="4"/>
  <c r="F80" i="4" s="1"/>
  <c r="E287" i="3" l="1"/>
  <c r="F97" i="3"/>
  <c r="E330" i="3" s="1"/>
  <c r="H88" i="3"/>
  <c r="E202" i="3"/>
  <c r="D213" i="3" s="1"/>
  <c r="H403" i="3"/>
  <c r="G51" i="11"/>
  <c r="F52" i="11"/>
  <c r="F49" i="11"/>
  <c r="G48" i="11"/>
  <c r="G49" i="11"/>
  <c r="F50" i="11"/>
  <c r="F48" i="11"/>
  <c r="F51" i="11"/>
  <c r="G50" i="11"/>
  <c r="G52" i="11"/>
  <c r="E348" i="3"/>
  <c r="E354" i="3" s="1"/>
  <c r="I354" i="3" s="1"/>
  <c r="C152" i="3"/>
  <c r="F348" i="3" s="1"/>
  <c r="F354" i="3" s="1"/>
  <c r="C426" i="3"/>
  <c r="E30" i="10" s="1"/>
  <c r="C436" i="3"/>
  <c r="E217" i="3"/>
  <c r="E222" i="3" s="1"/>
  <c r="B459" i="3"/>
  <c r="F152" i="3"/>
  <c r="H24" i="3"/>
  <c r="H25" i="3"/>
  <c r="H23" i="3"/>
  <c r="H26" i="3"/>
  <c r="H29" i="3"/>
  <c r="G227" i="3" s="1"/>
  <c r="E450" i="3"/>
  <c r="E449" i="3"/>
  <c r="E459" i="3" s="1"/>
  <c r="E262" i="3"/>
  <c r="E159" i="3"/>
  <c r="F262" i="3" s="1"/>
  <c r="E263" i="3"/>
  <c r="E166" i="3"/>
  <c r="F263" i="3" s="1"/>
  <c r="J403" i="3"/>
  <c r="G14" i="11"/>
  <c r="G16" i="11"/>
  <c r="F16" i="11"/>
  <c r="F15" i="11"/>
  <c r="F13" i="11"/>
  <c r="G13" i="11"/>
  <c r="G12" i="11"/>
  <c r="G15" i="11"/>
  <c r="F12" i="11"/>
  <c r="F14" i="11"/>
  <c r="D273" i="3"/>
  <c r="C11" i="12" s="1"/>
  <c r="D272" i="3"/>
  <c r="C10" i="12" s="1"/>
  <c r="D274" i="3"/>
  <c r="C12" i="12" s="1"/>
  <c r="E349" i="3"/>
  <c r="C159" i="3"/>
  <c r="F349" i="3" s="1"/>
  <c r="H112" i="3"/>
  <c r="F112" i="3"/>
  <c r="H331" i="3" s="1"/>
  <c r="G342" i="3" s="1"/>
  <c r="G355" i="3" s="1"/>
  <c r="G360" i="3" s="1"/>
  <c r="I112" i="3"/>
  <c r="H204" i="3" s="1"/>
  <c r="G211" i="3" s="1"/>
  <c r="G223" i="3" s="1"/>
  <c r="G228" i="3" s="1"/>
  <c r="Q50" i="3"/>
  <c r="R39" i="3"/>
  <c r="R43" i="3"/>
  <c r="D39" i="3" s="1"/>
  <c r="R40" i="3"/>
  <c r="E306" i="3"/>
  <c r="D159" i="3"/>
  <c r="F306" i="3" s="1"/>
  <c r="J113" i="3"/>
  <c r="R45" i="3"/>
  <c r="R44" i="3" s="1"/>
  <c r="E39" i="3" s="1"/>
  <c r="Q49" i="3"/>
  <c r="Q48" i="3"/>
  <c r="R41" i="3"/>
  <c r="R38" i="3"/>
  <c r="J110" i="3"/>
  <c r="B74" i="3"/>
  <c r="F80" i="3"/>
  <c r="E218" i="3"/>
  <c r="F159" i="3"/>
  <c r="F218" i="3" s="1"/>
  <c r="E350" i="3"/>
  <c r="C166" i="3"/>
  <c r="F350" i="3" s="1"/>
  <c r="I67" i="3"/>
  <c r="E261" i="3"/>
  <c r="E267" i="3" s="1"/>
  <c r="I267" i="3" s="1"/>
  <c r="F272" i="3" s="1"/>
  <c r="H272" i="3" s="1"/>
  <c r="D379" i="3" s="1"/>
  <c r="E152" i="3"/>
  <c r="F261" i="3" s="1"/>
  <c r="F267" i="3" s="1"/>
  <c r="E219" i="3"/>
  <c r="F166" i="3"/>
  <c r="F219" i="3" s="1"/>
  <c r="F115" i="3"/>
  <c r="H332" i="3" s="1"/>
  <c r="G343" i="3" s="1"/>
  <c r="G356" i="3" s="1"/>
  <c r="G361" i="3" s="1"/>
  <c r="H115" i="3"/>
  <c r="I115" i="3"/>
  <c r="H205" i="3" s="1"/>
  <c r="G212" i="3" s="1"/>
  <c r="G224" i="3" s="1"/>
  <c r="G229" i="3" s="1"/>
  <c r="M460" i="3"/>
  <c r="O463" i="3"/>
  <c r="O462" i="3"/>
  <c r="E40" i="3"/>
  <c r="F24" i="3"/>
  <c r="F25" i="3"/>
  <c r="D38" i="3" s="1"/>
  <c r="F26" i="3"/>
  <c r="F29" i="3"/>
  <c r="G316" i="3" s="1"/>
  <c r="F23" i="3"/>
  <c r="I38" i="3" s="1"/>
  <c r="E307" i="3"/>
  <c r="D166" i="3"/>
  <c r="F307" i="3" s="1"/>
  <c r="E305" i="3"/>
  <c r="E311" i="3" s="1"/>
  <c r="I311" i="3" s="1"/>
  <c r="D152" i="3"/>
  <c r="F305" i="3" s="1"/>
  <c r="F311" i="3" s="1"/>
  <c r="Q51" i="3" l="1"/>
  <c r="R42" i="3"/>
  <c r="I39" i="3" s="1"/>
  <c r="I41" i="3" s="1"/>
  <c r="N461" i="3"/>
  <c r="C359" i="3"/>
  <c r="B22" i="12" s="1"/>
  <c r="J354" i="3"/>
  <c r="F29" i="4" s="1"/>
  <c r="I110" i="3"/>
  <c r="H110" i="3"/>
  <c r="J111" i="3"/>
  <c r="C458" i="3" s="1"/>
  <c r="G112" i="3"/>
  <c r="H288" i="3" s="1"/>
  <c r="G299" i="3" s="1"/>
  <c r="G312" i="3" s="1"/>
  <c r="G317" i="3" s="1"/>
  <c r="H243" i="3"/>
  <c r="G255" i="3" s="1"/>
  <c r="G268" i="3" s="1"/>
  <c r="G273" i="3" s="1"/>
  <c r="J311" i="3"/>
  <c r="H38" i="3"/>
  <c r="F38" i="3"/>
  <c r="D41" i="3"/>
  <c r="F316" i="3" s="1"/>
  <c r="H316" i="3" s="1"/>
  <c r="D386" i="3" s="1"/>
  <c r="G115" i="3"/>
  <c r="H289" i="3" s="1"/>
  <c r="G300" i="3" s="1"/>
  <c r="G313" i="3" s="1"/>
  <c r="G318" i="3" s="1"/>
  <c r="H244" i="3"/>
  <c r="G256" i="3" s="1"/>
  <c r="G269" i="3" s="1"/>
  <c r="G274" i="3" s="1"/>
  <c r="E29" i="4"/>
  <c r="F359" i="3"/>
  <c r="H359" i="3" s="1"/>
  <c r="D393" i="3" s="1"/>
  <c r="D227" i="3"/>
  <c r="C4" i="12" s="1"/>
  <c r="D229" i="3"/>
  <c r="C6" i="12" s="1"/>
  <c r="D228" i="3"/>
  <c r="C5" i="12" s="1"/>
  <c r="F40" i="3"/>
  <c r="C459" i="3"/>
  <c r="N455" i="3" s="1"/>
  <c r="N456" i="3" s="1"/>
  <c r="F217" i="3"/>
  <c r="F222" i="3" s="1"/>
  <c r="E199" i="3"/>
  <c r="D210" i="3" s="1"/>
  <c r="H67" i="3"/>
  <c r="J413" i="3"/>
  <c r="J414" i="3" s="1"/>
  <c r="E13" i="10" s="1"/>
  <c r="J404" i="3"/>
  <c r="E12" i="10" s="1"/>
  <c r="F39" i="3"/>
  <c r="H413" i="3"/>
  <c r="H414" i="3" s="1"/>
  <c r="E25" i="10" s="1"/>
  <c r="H404" i="3"/>
  <c r="E24" i="10" s="1"/>
  <c r="J267" i="3"/>
  <c r="C272" i="3"/>
  <c r="B10" i="12" s="1"/>
  <c r="F327" i="3"/>
  <c r="F81" i="3"/>
  <c r="I80" i="3"/>
  <c r="H80" i="3"/>
  <c r="B460" i="3"/>
  <c r="M459" i="3" s="1"/>
  <c r="H460" i="3" s="1"/>
  <c r="I460" i="3" s="1"/>
  <c r="G80" i="3"/>
  <c r="J80" i="3"/>
  <c r="J82" i="3" s="1"/>
  <c r="F82" i="3"/>
  <c r="F328" i="3" s="1"/>
  <c r="I222" i="3"/>
  <c r="F227" i="3" s="1"/>
  <c r="H227" i="3" s="1"/>
  <c r="D372" i="3" s="1"/>
  <c r="C449" i="3"/>
  <c r="H449" i="3" s="1"/>
  <c r="I113" i="3"/>
  <c r="H113" i="3"/>
  <c r="J114" i="3"/>
  <c r="C437" i="3"/>
  <c r="G88" i="3"/>
  <c r="E241" i="3"/>
  <c r="D257" i="3" s="1"/>
  <c r="F239" i="3" l="1"/>
  <c r="H82" i="3"/>
  <c r="F240" i="3" s="1"/>
  <c r="F205" i="3"/>
  <c r="I114" i="3"/>
  <c r="G205" i="3" s="1"/>
  <c r="F204" i="3"/>
  <c r="I111" i="3"/>
  <c r="G204" i="3" s="1"/>
  <c r="D222" i="3"/>
  <c r="I227" i="3" s="1"/>
  <c r="E372" i="3" s="1"/>
  <c r="D223" i="3"/>
  <c r="I228" i="3" s="1"/>
  <c r="E373" i="3" s="1"/>
  <c r="D224" i="3"/>
  <c r="I229" i="3" s="1"/>
  <c r="E374" i="3" s="1"/>
  <c r="J81" i="3"/>
  <c r="J83" i="3" s="1"/>
  <c r="I81" i="3"/>
  <c r="G81" i="3"/>
  <c r="H81" i="3"/>
  <c r="G327" i="3"/>
  <c r="F83" i="3"/>
  <c r="G328" i="3" s="1"/>
  <c r="F88" i="3"/>
  <c r="E329" i="3" s="1"/>
  <c r="D344" i="3" s="1"/>
  <c r="E286" i="3"/>
  <c r="D301" i="3" s="1"/>
  <c r="E238" i="3"/>
  <c r="D254" i="3" s="1"/>
  <c r="G67" i="3"/>
  <c r="F284" i="3"/>
  <c r="G82" i="3"/>
  <c r="F285" i="3" s="1"/>
  <c r="J222" i="3"/>
  <c r="B450" i="3" s="1"/>
  <c r="H450" i="3" s="1"/>
  <c r="H451" i="3" s="1"/>
  <c r="C227" i="3"/>
  <c r="B4" i="12" s="1"/>
  <c r="G22" i="12"/>
  <c r="E22" i="12"/>
  <c r="F22" i="12"/>
  <c r="E359" i="3" s="1"/>
  <c r="C393" i="3" s="1"/>
  <c r="H22" i="12"/>
  <c r="D22" i="12"/>
  <c r="F200" i="3"/>
  <c r="I82" i="3"/>
  <c r="F201" i="3" s="1"/>
  <c r="E212" i="3" s="1"/>
  <c r="E224" i="3" s="1"/>
  <c r="I224" i="3" s="1"/>
  <c r="F229" i="3" s="1"/>
  <c r="H229" i="3" s="1"/>
  <c r="D374" i="3" s="1"/>
  <c r="G110" i="3"/>
  <c r="F243" i="3"/>
  <c r="H111" i="3"/>
  <c r="G243" i="3" s="1"/>
  <c r="D10" i="12"/>
  <c r="G10" i="12"/>
  <c r="H10" i="12"/>
  <c r="F10" i="12"/>
  <c r="E272" i="3" s="1"/>
  <c r="C379" i="3" s="1"/>
  <c r="E10" i="12"/>
  <c r="F41" i="3"/>
  <c r="D42" i="3" s="1"/>
  <c r="F244" i="3"/>
  <c r="G113" i="3"/>
  <c r="H114" i="3"/>
  <c r="G244" i="3" s="1"/>
  <c r="D43" i="3" l="1"/>
  <c r="G39" i="3"/>
  <c r="H39" i="3" s="1"/>
  <c r="G40" i="3"/>
  <c r="H40" i="3" s="1"/>
  <c r="D37" i="10"/>
  <c r="F37" i="10" s="1"/>
  <c r="H453" i="3"/>
  <c r="E211" i="3"/>
  <c r="E223" i="3" s="1"/>
  <c r="I223" i="3" s="1"/>
  <c r="F228" i="3" s="1"/>
  <c r="H228" i="3" s="1"/>
  <c r="D373" i="3" s="1"/>
  <c r="J415" i="3" s="1"/>
  <c r="E300" i="3"/>
  <c r="E313" i="3" s="1"/>
  <c r="I313" i="3" s="1"/>
  <c r="F318" i="3" s="1"/>
  <c r="H318" i="3" s="1"/>
  <c r="D388" i="3" s="1"/>
  <c r="H83" i="3"/>
  <c r="G240" i="3" s="1"/>
  <c r="F256" i="3" s="1"/>
  <c r="F269" i="3" s="1"/>
  <c r="G239" i="3"/>
  <c r="F255" i="3" s="1"/>
  <c r="F268" i="3" s="1"/>
  <c r="G83" i="3"/>
  <c r="G285" i="3" s="1"/>
  <c r="G284" i="3"/>
  <c r="E256" i="3"/>
  <c r="E269" i="3" s="1"/>
  <c r="I269" i="3" s="1"/>
  <c r="F274" i="3" s="1"/>
  <c r="H274" i="3" s="1"/>
  <c r="D381" i="3" s="1"/>
  <c r="E283" i="3"/>
  <c r="D298" i="3" s="1"/>
  <c r="F67" i="3"/>
  <c r="F68" i="3" s="1"/>
  <c r="E326" i="3" s="1"/>
  <c r="D341" i="3" s="1"/>
  <c r="I83" i="3"/>
  <c r="G201" i="3" s="1"/>
  <c r="F212" i="3" s="1"/>
  <c r="F224" i="3" s="1"/>
  <c r="G200" i="3"/>
  <c r="F211" i="3" s="1"/>
  <c r="F223" i="3" s="1"/>
  <c r="E255" i="3"/>
  <c r="E268" i="3" s="1"/>
  <c r="I268" i="3" s="1"/>
  <c r="F273" i="3" s="1"/>
  <c r="H273" i="3" s="1"/>
  <c r="D380" i="3" s="1"/>
  <c r="F110" i="3"/>
  <c r="F288" i="3"/>
  <c r="E299" i="3" s="1"/>
  <c r="E312" i="3" s="1"/>
  <c r="I312" i="3" s="1"/>
  <c r="F317" i="3" s="1"/>
  <c r="H317" i="3" s="1"/>
  <c r="D387" i="3" s="1"/>
  <c r="G111" i="3"/>
  <c r="G288" i="3" s="1"/>
  <c r="D4" i="12"/>
  <c r="G4" i="12"/>
  <c r="H4" i="12"/>
  <c r="E4" i="12"/>
  <c r="F4" i="12"/>
  <c r="E227" i="3" s="1"/>
  <c r="C372" i="3" s="1"/>
  <c r="F289" i="3"/>
  <c r="F113" i="3"/>
  <c r="G114" i="3"/>
  <c r="G289" i="3" s="1"/>
  <c r="D269" i="3"/>
  <c r="I274" i="3" s="1"/>
  <c r="E381" i="3" s="1"/>
  <c r="D267" i="3"/>
  <c r="I272" i="3" s="1"/>
  <c r="E379" i="3" s="1"/>
  <c r="D268" i="3"/>
  <c r="I273" i="3" s="1"/>
  <c r="E380" i="3" s="1"/>
  <c r="F299" i="3" l="1"/>
  <c r="F312" i="3" s="1"/>
  <c r="F300" i="3"/>
  <c r="F313" i="3" s="1"/>
  <c r="I415" i="3"/>
  <c r="D19" i="10" s="1"/>
  <c r="F19" i="10" s="1"/>
  <c r="H41" i="3"/>
  <c r="D44" i="3" s="1"/>
  <c r="G44" i="3" s="1"/>
  <c r="D318" i="3" s="1"/>
  <c r="C18" i="12" s="1"/>
  <c r="J410" i="3"/>
  <c r="J416" i="3"/>
  <c r="D13" i="10"/>
  <c r="F13" i="10" s="1"/>
  <c r="I416" i="3"/>
  <c r="I410" i="3"/>
  <c r="J223" i="3"/>
  <c r="C228" i="3"/>
  <c r="B5" i="12" s="1"/>
  <c r="J313" i="3"/>
  <c r="C318" i="3"/>
  <c r="B18" i="12" s="1"/>
  <c r="C317" i="3"/>
  <c r="B17" i="12" s="1"/>
  <c r="J312" i="3"/>
  <c r="J224" i="3"/>
  <c r="C229" i="3"/>
  <c r="B6" i="12" s="1"/>
  <c r="D354" i="3"/>
  <c r="D355" i="3"/>
  <c r="I360" i="3" s="1"/>
  <c r="E394" i="3" s="1"/>
  <c r="D356" i="3"/>
  <c r="I361" i="3" s="1"/>
  <c r="E395" i="3" s="1"/>
  <c r="H415" i="3"/>
  <c r="D311" i="3"/>
  <c r="I316" i="3" s="1"/>
  <c r="E386" i="3" s="1"/>
  <c r="D312" i="3"/>
  <c r="I317" i="3" s="1"/>
  <c r="E387" i="3" s="1"/>
  <c r="D313" i="3"/>
  <c r="I318" i="3" s="1"/>
  <c r="E388" i="3" s="1"/>
  <c r="F331" i="3"/>
  <c r="E342" i="3" s="1"/>
  <c r="E355" i="3" s="1"/>
  <c r="I355" i="3" s="1"/>
  <c r="F111" i="3"/>
  <c r="G331" i="3" s="1"/>
  <c r="F342" i="3" s="1"/>
  <c r="F355" i="3" s="1"/>
  <c r="F332" i="3"/>
  <c r="E343" i="3" s="1"/>
  <c r="E356" i="3" s="1"/>
  <c r="I356" i="3" s="1"/>
  <c r="F114" i="3"/>
  <c r="G332" i="3" s="1"/>
  <c r="F343" i="3" s="1"/>
  <c r="F356" i="3" s="1"/>
  <c r="C273" i="3"/>
  <c r="B11" i="12" s="1"/>
  <c r="J268" i="3"/>
  <c r="D316" i="3"/>
  <c r="C16" i="12" s="1"/>
  <c r="C274" i="3"/>
  <c r="B12" i="12" s="1"/>
  <c r="J269" i="3"/>
  <c r="C316" i="3" l="1"/>
  <c r="B16" i="12" s="1"/>
  <c r="D317" i="3"/>
  <c r="C17" i="12" s="1"/>
  <c r="E30" i="4"/>
  <c r="F360" i="3"/>
  <c r="H360" i="3" s="1"/>
  <c r="D394" i="3" s="1"/>
  <c r="G6" i="12"/>
  <c r="E6" i="12"/>
  <c r="H6" i="12"/>
  <c r="D6" i="12"/>
  <c r="F6" i="12"/>
  <c r="E229" i="3" s="1"/>
  <c r="C374" i="3" s="1"/>
  <c r="J443" i="3" s="1"/>
  <c r="G5" i="12"/>
  <c r="F5" i="12"/>
  <c r="E228" i="3" s="1"/>
  <c r="C373" i="3" s="1"/>
  <c r="E5" i="12"/>
  <c r="H5" i="12"/>
  <c r="D5" i="12"/>
  <c r="N432" i="3"/>
  <c r="C433" i="3" s="1"/>
  <c r="J29" i="4"/>
  <c r="F42" i="4" s="1"/>
  <c r="I359" i="3"/>
  <c r="E393" i="3" s="1"/>
  <c r="C427" i="3"/>
  <c r="G11" i="12"/>
  <c r="D11" i="12"/>
  <c r="H11" i="12"/>
  <c r="F11" i="12"/>
  <c r="E273" i="3" s="1"/>
  <c r="C380" i="3" s="1"/>
  <c r="E11" i="12"/>
  <c r="H17" i="12"/>
  <c r="F17" i="12"/>
  <c r="E317" i="3" s="1"/>
  <c r="C387" i="3" s="1"/>
  <c r="D17" i="12"/>
  <c r="G17" i="12"/>
  <c r="E17" i="12"/>
  <c r="E31" i="4"/>
  <c r="F361" i="3"/>
  <c r="H361" i="3" s="1"/>
  <c r="D395" i="3" s="1"/>
  <c r="J355" i="3"/>
  <c r="F30" i="4" s="1"/>
  <c r="C360" i="3"/>
  <c r="B23" i="12" s="1"/>
  <c r="C361" i="3"/>
  <c r="B24" i="12" s="1"/>
  <c r="J356" i="3"/>
  <c r="F31" i="4" s="1"/>
  <c r="H12" i="12"/>
  <c r="G12" i="12"/>
  <c r="D12" i="12"/>
  <c r="E12" i="12"/>
  <c r="F12" i="12"/>
  <c r="E274" i="3" s="1"/>
  <c r="C381" i="3" s="1"/>
  <c r="I443" i="3" s="1"/>
  <c r="D18" i="12"/>
  <c r="G18" i="12"/>
  <c r="F18" i="12"/>
  <c r="E318" i="3" s="1"/>
  <c r="C388" i="3" s="1"/>
  <c r="E18" i="12"/>
  <c r="H18" i="12"/>
  <c r="H410" i="3"/>
  <c r="D25" i="10"/>
  <c r="F25" i="10" s="1"/>
  <c r="H416" i="3"/>
  <c r="H16" i="12"/>
  <c r="D16" i="12"/>
  <c r="F16" i="12"/>
  <c r="E316" i="3" s="1"/>
  <c r="C386" i="3" s="1"/>
  <c r="E16" i="12"/>
  <c r="G16" i="12"/>
  <c r="H443" i="3" l="1"/>
  <c r="H442" i="3"/>
  <c r="D26" i="10" s="1"/>
  <c r="F26" i="10" s="1"/>
  <c r="H444" i="3"/>
  <c r="F37" i="4"/>
  <c r="F40" i="4" s="1"/>
  <c r="F41" i="4" s="1"/>
  <c r="F65" i="4"/>
  <c r="F68" i="4" s="1"/>
  <c r="H24" i="12"/>
  <c r="D24" i="12"/>
  <c r="E24" i="12"/>
  <c r="G24" i="12"/>
  <c r="F24" i="12"/>
  <c r="E361" i="3" s="1"/>
  <c r="C395" i="3" s="1"/>
  <c r="G443" i="3" s="1"/>
  <c r="E23" i="12"/>
  <c r="H23" i="12"/>
  <c r="G23" i="12"/>
  <c r="D23" i="12"/>
  <c r="F23" i="12"/>
  <c r="E360" i="3" s="1"/>
  <c r="C394" i="3" s="1"/>
  <c r="I405" i="3"/>
  <c r="I442" i="3"/>
  <c r="H405" i="3"/>
  <c r="G415" i="3"/>
  <c r="D30" i="10"/>
  <c r="F30" i="10" s="1"/>
  <c r="C428" i="3"/>
  <c r="J442" i="3"/>
  <c r="J405" i="3"/>
  <c r="F88" i="4"/>
  <c r="F90" i="4" s="1"/>
  <c r="F92" i="4" s="1"/>
  <c r="F49" i="4"/>
  <c r="I444" i="3" l="1"/>
  <c r="D20" i="10"/>
  <c r="F20" i="10" s="1"/>
  <c r="E57" i="10"/>
  <c r="F57" i="10" s="1"/>
  <c r="F94" i="4"/>
  <c r="F95" i="4" s="1"/>
  <c r="I406" i="3"/>
  <c r="I400" i="3"/>
  <c r="D18" i="10"/>
  <c r="F18" i="10" s="1"/>
  <c r="G405" i="3"/>
  <c r="G442" i="3"/>
  <c r="D14" i="10"/>
  <c r="F14" i="10" s="1"/>
  <c r="J444" i="3"/>
  <c r="F70" i="4"/>
  <c r="D53" i="10"/>
  <c r="F53" i="10" s="1"/>
  <c r="F45" i="4"/>
  <c r="F43" i="4"/>
  <c r="D50" i="10"/>
  <c r="F50" i="10" s="1"/>
  <c r="D12" i="10"/>
  <c r="F12" i="10" s="1"/>
  <c r="J406" i="3"/>
  <c r="J400" i="3"/>
  <c r="G410" i="3"/>
  <c r="G416" i="3"/>
  <c r="D32" i="10"/>
  <c r="F32" i="10" s="1"/>
  <c r="D51" i="10"/>
  <c r="F51" i="10" s="1"/>
  <c r="F60" i="4"/>
  <c r="F51" i="4"/>
  <c r="D24" i="10"/>
  <c r="F24" i="10" s="1"/>
  <c r="H406" i="3"/>
  <c r="H400" i="3"/>
  <c r="D52" i="10" l="1"/>
  <c r="F52" i="10" s="1"/>
  <c r="F61" i="4"/>
  <c r="G406" i="3"/>
  <c r="G400" i="3"/>
  <c r="D31" i="10"/>
  <c r="F31" i="10" s="1"/>
  <c r="G444" i="3"/>
  <c r="D33" i="10"/>
  <c r="F33" i="10" s="1"/>
</calcChain>
</file>

<file path=xl/sharedStrings.xml><?xml version="1.0" encoding="utf-8"?>
<sst xmlns="http://schemas.openxmlformats.org/spreadsheetml/2006/main" count="1667" uniqueCount="809">
  <si>
    <t>OD (in)</t>
  </si>
  <si>
    <t>in</t>
  </si>
  <si>
    <t>R (in) =</t>
  </si>
  <si>
    <r>
      <t>I (in</t>
    </r>
    <r>
      <rPr>
        <vertAlign val="superscript"/>
        <sz val="10"/>
        <rFont val="Arial"/>
        <family val="2"/>
      </rPr>
      <t>4</t>
    </r>
    <r>
      <rPr>
        <sz val="10"/>
        <rFont val="Arial"/>
        <family val="2"/>
      </rPr>
      <t xml:space="preserve"> )=</t>
    </r>
  </si>
  <si>
    <r>
      <t>S (in</t>
    </r>
    <r>
      <rPr>
        <vertAlign val="superscript"/>
        <sz val="10"/>
        <rFont val="Arial"/>
        <family val="2"/>
      </rPr>
      <t>3</t>
    </r>
    <r>
      <rPr>
        <sz val="10"/>
        <rFont val="Arial"/>
        <family val="2"/>
      </rPr>
      <t>) =</t>
    </r>
  </si>
  <si>
    <r>
      <t>Area (in</t>
    </r>
    <r>
      <rPr>
        <vertAlign val="superscript"/>
        <sz val="10"/>
        <rFont val="Arial"/>
        <family val="2"/>
      </rPr>
      <t>2</t>
    </r>
    <r>
      <rPr>
        <sz val="10"/>
        <rFont val="Arial"/>
        <family val="2"/>
      </rPr>
      <t>) =</t>
    </r>
  </si>
  <si>
    <t>Taper Rate</t>
  </si>
  <si>
    <t>in/ft</t>
  </si>
  <si>
    <t>r  =</t>
  </si>
  <si>
    <r>
      <t>V</t>
    </r>
    <r>
      <rPr>
        <vertAlign val="subscript"/>
        <sz val="10"/>
        <rFont val="Arial"/>
        <family val="2"/>
      </rPr>
      <t>fm</t>
    </r>
    <r>
      <rPr>
        <sz val="10"/>
        <rFont val="Arial"/>
        <family val="2"/>
      </rPr>
      <t>=</t>
    </r>
  </si>
  <si>
    <t>mph</t>
  </si>
  <si>
    <t>PUB 149 - TRAFFIC SIGNAL DESIGN HANDBOOK</t>
  </si>
  <si>
    <t>AASHTO APP C TABLE C-2 WIND DRAG COEFFICIENTS</t>
  </si>
  <si>
    <r>
      <t>C</t>
    </r>
    <r>
      <rPr>
        <vertAlign val="subscript"/>
        <sz val="10"/>
        <rFont val="Arial"/>
        <family val="2"/>
      </rPr>
      <t>h</t>
    </r>
    <r>
      <rPr>
        <sz val="10"/>
        <rFont val="Arial"/>
        <family val="2"/>
      </rPr>
      <t>=</t>
    </r>
  </si>
  <si>
    <t>AASHTO APP C TABLE C-1 COEFFICIENT OF HEIGHT</t>
  </si>
  <si>
    <r>
      <t>V</t>
    </r>
    <r>
      <rPr>
        <vertAlign val="subscript"/>
        <sz val="10"/>
        <rFont val="Arial"/>
        <family val="2"/>
      </rPr>
      <t>fm</t>
    </r>
    <r>
      <rPr>
        <sz val="10"/>
        <rFont val="Arial"/>
        <family val="2"/>
      </rPr>
      <t xml:space="preserve"> *d =</t>
    </r>
  </si>
  <si>
    <r>
      <t>P</t>
    </r>
    <r>
      <rPr>
        <vertAlign val="subscript"/>
        <sz val="10"/>
        <rFont val="Arial"/>
        <family val="2"/>
      </rPr>
      <t>z</t>
    </r>
    <r>
      <rPr>
        <sz val="10"/>
        <rFont val="Arial"/>
        <family val="2"/>
      </rPr>
      <t>=</t>
    </r>
  </si>
  <si>
    <t>psf</t>
  </si>
  <si>
    <r>
      <t>M</t>
    </r>
    <r>
      <rPr>
        <vertAlign val="subscript"/>
        <sz val="10"/>
        <rFont val="Arial"/>
        <family val="2"/>
      </rPr>
      <t xml:space="preserve">Y </t>
    </r>
    <r>
      <rPr>
        <sz val="10"/>
        <rFont val="Arial"/>
        <family val="2"/>
      </rPr>
      <t>(ft-lb)</t>
    </r>
  </si>
  <si>
    <r>
      <t>C</t>
    </r>
    <r>
      <rPr>
        <vertAlign val="subscript"/>
        <sz val="10"/>
        <rFont val="Arial"/>
        <family val="2"/>
      </rPr>
      <t>d</t>
    </r>
    <r>
      <rPr>
        <sz val="10"/>
        <rFont val="Arial"/>
        <family val="2"/>
      </rPr>
      <t>=</t>
    </r>
  </si>
  <si>
    <r>
      <t>0.00256(1.3V</t>
    </r>
    <r>
      <rPr>
        <vertAlign val="subscript"/>
        <sz val="10"/>
        <rFont val="Arial"/>
        <family val="2"/>
      </rPr>
      <t>fm</t>
    </r>
    <r>
      <rPr>
        <sz val="10"/>
        <rFont val="Arial"/>
        <family val="2"/>
      </rPr>
      <t>)</t>
    </r>
    <r>
      <rPr>
        <vertAlign val="superscript"/>
        <sz val="10"/>
        <rFont val="Arial"/>
        <family val="2"/>
      </rPr>
      <t>2</t>
    </r>
    <r>
      <rPr>
        <sz val="10"/>
        <rFont val="Arial"/>
        <family val="2"/>
      </rPr>
      <t>C</t>
    </r>
    <r>
      <rPr>
        <vertAlign val="subscript"/>
        <sz val="10"/>
        <rFont val="Arial"/>
        <family val="2"/>
      </rPr>
      <t>d</t>
    </r>
    <r>
      <rPr>
        <sz val="10"/>
        <rFont val="Arial"/>
        <family val="2"/>
      </rPr>
      <t>C</t>
    </r>
    <r>
      <rPr>
        <vertAlign val="subscript"/>
        <sz val="10"/>
        <rFont val="Arial"/>
        <family val="2"/>
      </rPr>
      <t>h</t>
    </r>
  </si>
  <si>
    <t>Weight</t>
  </si>
  <si>
    <t>(lbs)</t>
  </si>
  <si>
    <t>(ft)</t>
  </si>
  <si>
    <t>(psf)</t>
  </si>
  <si>
    <r>
      <t>M</t>
    </r>
    <r>
      <rPr>
        <vertAlign val="subscript"/>
        <sz val="10"/>
        <rFont val="Arial"/>
        <family val="2"/>
      </rPr>
      <t>z</t>
    </r>
  </si>
  <si>
    <t>R</t>
  </si>
  <si>
    <t>ft</t>
  </si>
  <si>
    <t xml:space="preserve">Group I = DL                         </t>
  </si>
  <si>
    <t xml:space="preserve">Group II = DL + W                  </t>
  </si>
  <si>
    <t xml:space="preserve">Group III = DL + 1/2 W + ICE </t>
  </si>
  <si>
    <t>DL</t>
  </si>
  <si>
    <t>Group loads include reduction for allowable overstress</t>
  </si>
  <si>
    <t>Grp II W</t>
  </si>
  <si>
    <t>Grp III W</t>
  </si>
  <si>
    <t>Ice</t>
  </si>
  <si>
    <t>Group I</t>
  </si>
  <si>
    <t>Group II</t>
  </si>
  <si>
    <t>Group III</t>
  </si>
  <si>
    <t>AASHTO 5.5.2 &amp; 5.6</t>
  </si>
  <si>
    <t>psi</t>
  </si>
  <si>
    <t>C</t>
  </si>
  <si>
    <t>App B:Table B.3</t>
  </si>
  <si>
    <t>inches</t>
  </si>
  <si>
    <t>Tensile Stress Area (AASHTO 5.17.4)</t>
  </si>
  <si>
    <t>ksi</t>
  </si>
  <si>
    <t>BASE</t>
  </si>
  <si>
    <t>1.5 FT</t>
  </si>
  <si>
    <t>TOP 1</t>
  </si>
  <si>
    <t>TOP 2</t>
  </si>
  <si>
    <t>A</t>
  </si>
  <si>
    <t>y</t>
  </si>
  <si>
    <t>Ay</t>
  </si>
  <si>
    <t>d</t>
  </si>
  <si>
    <t>I</t>
  </si>
  <si>
    <r>
      <t>I</t>
    </r>
    <r>
      <rPr>
        <vertAlign val="subscript"/>
        <sz val="10"/>
        <rFont val="Arial"/>
        <family val="2"/>
      </rPr>
      <t>H</t>
    </r>
    <r>
      <rPr>
        <sz val="10"/>
        <rFont val="Arial"/>
        <family val="2"/>
      </rPr>
      <t>=</t>
    </r>
  </si>
  <si>
    <t>S =</t>
  </si>
  <si>
    <t>ANCHOR BOLT SPECIFICATION:</t>
  </si>
  <si>
    <t>BASE PLATE SPECIFICATION:</t>
  </si>
  <si>
    <r>
      <t>F</t>
    </r>
    <r>
      <rPr>
        <vertAlign val="subscript"/>
        <sz val="10"/>
        <rFont val="Arial"/>
        <family val="2"/>
      </rPr>
      <t xml:space="preserve">Y </t>
    </r>
    <r>
      <rPr>
        <sz val="10"/>
        <rFont val="Arial"/>
        <family val="2"/>
      </rPr>
      <t>(lb)</t>
    </r>
  </si>
  <si>
    <t>sum =</t>
  </si>
  <si>
    <r>
      <t>P</t>
    </r>
    <r>
      <rPr>
        <vertAlign val="subscript"/>
        <sz val="10"/>
        <rFont val="Arial"/>
        <family val="2"/>
      </rPr>
      <t xml:space="preserve">z </t>
    </r>
    <r>
      <rPr>
        <sz val="10"/>
        <rFont val="Arial"/>
        <family val="2"/>
      </rPr>
      <t>III</t>
    </r>
    <r>
      <rPr>
        <vertAlign val="subscript"/>
        <sz val="10"/>
        <rFont val="Arial"/>
        <family val="2"/>
      </rPr>
      <t xml:space="preserve"> </t>
    </r>
    <r>
      <rPr>
        <sz val="10"/>
        <rFont val="Arial"/>
        <family val="2"/>
      </rPr>
      <t>=</t>
    </r>
  </si>
  <si>
    <r>
      <t>0.00256(1.3V</t>
    </r>
    <r>
      <rPr>
        <vertAlign val="subscript"/>
        <sz val="10"/>
        <rFont val="Arial"/>
        <family val="2"/>
      </rPr>
      <t>fm</t>
    </r>
    <r>
      <rPr>
        <sz val="10"/>
        <rFont val="Arial"/>
        <family val="2"/>
      </rPr>
      <t>)</t>
    </r>
    <r>
      <rPr>
        <vertAlign val="superscript"/>
        <sz val="10"/>
        <rFont val="Arial"/>
        <family val="2"/>
      </rPr>
      <t>2</t>
    </r>
    <r>
      <rPr>
        <sz val="10"/>
        <rFont val="Arial"/>
        <family val="2"/>
      </rPr>
      <t>C</t>
    </r>
    <r>
      <rPr>
        <vertAlign val="subscript"/>
        <sz val="10"/>
        <rFont val="Arial"/>
        <family val="2"/>
      </rPr>
      <t>d</t>
    </r>
    <r>
      <rPr>
        <sz val="10"/>
        <rFont val="Arial"/>
        <family val="2"/>
      </rPr>
      <t>C</t>
    </r>
    <r>
      <rPr>
        <vertAlign val="subscript"/>
        <sz val="10"/>
        <rFont val="Arial"/>
        <family val="2"/>
      </rPr>
      <t xml:space="preserve">h </t>
    </r>
    <r>
      <rPr>
        <sz val="10"/>
        <rFont val="Arial"/>
        <family val="2"/>
      </rPr>
      <t xml:space="preserve"> with minimum of 25psf</t>
    </r>
  </si>
  <si>
    <r>
      <t>F</t>
    </r>
    <r>
      <rPr>
        <vertAlign val="subscript"/>
        <sz val="10"/>
        <rFont val="Arial"/>
        <family val="2"/>
      </rPr>
      <t>z</t>
    </r>
    <r>
      <rPr>
        <sz val="10"/>
        <rFont val="Arial"/>
        <family val="2"/>
      </rPr>
      <t xml:space="preserve"> (lb)</t>
    </r>
  </si>
  <si>
    <r>
      <t>M</t>
    </r>
    <r>
      <rPr>
        <vertAlign val="subscript"/>
        <sz val="10"/>
        <rFont val="Arial"/>
        <family val="2"/>
      </rPr>
      <t xml:space="preserve">X </t>
    </r>
    <r>
      <rPr>
        <sz val="10"/>
        <rFont val="Arial"/>
        <family val="2"/>
      </rPr>
      <t>(ft-lb)</t>
    </r>
  </si>
  <si>
    <r>
      <t>Grp III F</t>
    </r>
    <r>
      <rPr>
        <vertAlign val="subscript"/>
        <sz val="10"/>
        <rFont val="Arial"/>
        <family val="2"/>
      </rPr>
      <t>z</t>
    </r>
    <r>
      <rPr>
        <sz val="10"/>
        <rFont val="Arial"/>
        <family val="2"/>
      </rPr>
      <t xml:space="preserve"> (lb)</t>
    </r>
  </si>
  <si>
    <r>
      <t>V</t>
    </r>
    <r>
      <rPr>
        <vertAlign val="subscript"/>
        <sz val="10"/>
        <rFont val="Arial"/>
        <family val="2"/>
      </rPr>
      <t>fm</t>
    </r>
    <r>
      <rPr>
        <sz val="10"/>
        <rFont val="Arial"/>
        <family val="2"/>
      </rPr>
      <t>d =</t>
    </r>
  </si>
  <si>
    <t>LUMINAIRE</t>
  </si>
  <si>
    <t>Arm X</t>
  </si>
  <si>
    <t>(ft-lb)</t>
  </si>
  <si>
    <t>PUB. 408  1101.06(b)1</t>
  </si>
  <si>
    <r>
      <t>P</t>
    </r>
    <r>
      <rPr>
        <vertAlign val="subscript"/>
        <sz val="10"/>
        <rFont val="Arial"/>
        <family val="2"/>
      </rPr>
      <t xml:space="preserve">z </t>
    </r>
    <r>
      <rPr>
        <sz val="10"/>
        <rFont val="Arial"/>
        <family val="2"/>
      </rPr>
      <t>III =</t>
    </r>
  </si>
  <si>
    <t>AREA OF LUMINAIRE; PUB. 408;1101.06(b)-1</t>
  </si>
  <si>
    <r>
      <t>A</t>
    </r>
    <r>
      <rPr>
        <vertAlign val="subscript"/>
        <sz val="10"/>
        <rFont val="Arial"/>
        <family val="2"/>
      </rPr>
      <t>WIND</t>
    </r>
    <r>
      <rPr>
        <sz val="10"/>
        <rFont val="Arial"/>
        <family val="2"/>
      </rPr>
      <t>=</t>
    </r>
  </si>
  <si>
    <r>
      <t>ft.</t>
    </r>
    <r>
      <rPr>
        <vertAlign val="superscript"/>
        <sz val="9"/>
        <rFont val="Arial"/>
        <family val="2"/>
      </rPr>
      <t>2</t>
    </r>
  </si>
  <si>
    <r>
      <t>A</t>
    </r>
    <r>
      <rPr>
        <vertAlign val="subscript"/>
        <sz val="10"/>
        <rFont val="Arial"/>
        <family val="2"/>
      </rPr>
      <t>ICE</t>
    </r>
    <r>
      <rPr>
        <sz val="10"/>
        <rFont val="Arial"/>
        <family val="2"/>
      </rPr>
      <t>=</t>
    </r>
  </si>
  <si>
    <r>
      <t>F</t>
    </r>
    <r>
      <rPr>
        <vertAlign val="subscript"/>
        <sz val="10"/>
        <rFont val="Arial"/>
        <family val="2"/>
      </rPr>
      <t>Z</t>
    </r>
    <r>
      <rPr>
        <sz val="10"/>
        <rFont val="Arial"/>
        <family val="2"/>
      </rPr>
      <t xml:space="preserve"> (lb)</t>
    </r>
  </si>
  <si>
    <t>lb</t>
  </si>
  <si>
    <r>
      <t>F</t>
    </r>
    <r>
      <rPr>
        <vertAlign val="subscript"/>
        <sz val="10"/>
        <rFont val="Arial"/>
        <family val="2"/>
      </rPr>
      <t>Z</t>
    </r>
    <r>
      <rPr>
        <sz val="10"/>
        <rFont val="Arial"/>
        <family val="2"/>
      </rPr>
      <t xml:space="preserve"> III (lb)</t>
    </r>
  </si>
  <si>
    <t>mom arm</t>
  </si>
  <si>
    <r>
      <t xml:space="preserve"> F</t>
    </r>
    <r>
      <rPr>
        <vertAlign val="subscript"/>
        <sz val="10"/>
        <rFont val="Arial"/>
        <family val="2"/>
      </rPr>
      <t>Z</t>
    </r>
    <r>
      <rPr>
        <sz val="10"/>
        <rFont val="Arial"/>
        <family val="2"/>
      </rPr>
      <t xml:space="preserve"> (lb)</t>
    </r>
  </si>
  <si>
    <r>
      <t>Grp III F</t>
    </r>
    <r>
      <rPr>
        <vertAlign val="subscript"/>
        <sz val="10"/>
        <rFont val="Arial"/>
        <family val="2"/>
      </rPr>
      <t>Z</t>
    </r>
    <r>
      <rPr>
        <sz val="10"/>
        <rFont val="Arial"/>
        <family val="2"/>
      </rPr>
      <t xml:space="preserve"> (lb)</t>
    </r>
  </si>
  <si>
    <r>
      <t>Grp III M</t>
    </r>
    <r>
      <rPr>
        <vertAlign val="subscript"/>
        <sz val="10"/>
        <rFont val="Arial"/>
        <family val="2"/>
      </rPr>
      <t xml:space="preserve">X </t>
    </r>
    <r>
      <rPr>
        <sz val="10"/>
        <rFont val="Arial"/>
        <family val="2"/>
      </rPr>
      <t>(ft-lb)</t>
    </r>
  </si>
  <si>
    <r>
      <t>Grp III M</t>
    </r>
    <r>
      <rPr>
        <vertAlign val="subscript"/>
        <sz val="10"/>
        <rFont val="Arial"/>
        <family val="2"/>
      </rPr>
      <t xml:space="preserve">Y </t>
    </r>
    <r>
      <rPr>
        <sz val="10"/>
        <rFont val="Arial"/>
        <family val="2"/>
      </rPr>
      <t>(ft-lb)</t>
    </r>
  </si>
  <si>
    <t>MISC ATTACHMENTS</t>
  </si>
  <si>
    <t>Signal Q</t>
  </si>
  <si>
    <t>Sign V</t>
  </si>
  <si>
    <t>Control Box</t>
  </si>
  <si>
    <t>Eccentricity relative the vertical axis is small and therefore neglected for all misc components.</t>
  </si>
  <si>
    <r>
      <t>F</t>
    </r>
    <r>
      <rPr>
        <vertAlign val="subscript"/>
        <sz val="10"/>
        <rFont val="Arial"/>
        <family val="2"/>
      </rPr>
      <t>Y</t>
    </r>
    <r>
      <rPr>
        <sz val="10"/>
        <rFont val="Arial"/>
        <family val="2"/>
      </rPr>
      <t xml:space="preserve"> =</t>
    </r>
  </si>
  <si>
    <t>Shear</t>
  </si>
  <si>
    <t>kL/r =</t>
  </si>
  <si>
    <t>k =</t>
  </si>
  <si>
    <t>AASHTO APP B; Table B-5. effective length factors</t>
  </si>
  <si>
    <t>L =</t>
  </si>
  <si>
    <t xml:space="preserve">ft.  </t>
  </si>
  <si>
    <t>r =</t>
  </si>
  <si>
    <t>AASHTO APP B; Table B-1. Estimated Sectional Properties for tubular shapes</t>
  </si>
  <si>
    <r>
      <t>C</t>
    </r>
    <r>
      <rPr>
        <vertAlign val="subscript"/>
        <sz val="10"/>
        <rFont val="Arial"/>
        <family val="2"/>
      </rPr>
      <t>c</t>
    </r>
    <r>
      <rPr>
        <sz val="10"/>
        <rFont val="Arial"/>
        <family val="2"/>
      </rPr>
      <t>=</t>
    </r>
  </si>
  <si>
    <r>
      <t>F</t>
    </r>
    <r>
      <rPr>
        <vertAlign val="subscript"/>
        <sz val="10"/>
        <rFont val="Arial"/>
        <family val="2"/>
      </rPr>
      <t>a</t>
    </r>
    <r>
      <rPr>
        <sz val="10"/>
        <rFont val="Arial"/>
        <family val="2"/>
      </rPr>
      <t>=</t>
    </r>
  </si>
  <si>
    <r>
      <t>f</t>
    </r>
    <r>
      <rPr>
        <vertAlign val="subscript"/>
        <sz val="10"/>
        <rFont val="Arial"/>
        <family val="2"/>
      </rPr>
      <t>a</t>
    </r>
    <r>
      <rPr>
        <sz val="10"/>
        <rFont val="Arial"/>
        <family val="2"/>
      </rPr>
      <t xml:space="preserve"> =</t>
    </r>
  </si>
  <si>
    <t>Handhole</t>
  </si>
  <si>
    <t>MATERIAL SPECIFICATIONS:</t>
  </si>
  <si>
    <t>PennDOT TC-8801</t>
  </si>
  <si>
    <r>
      <t>M</t>
    </r>
    <r>
      <rPr>
        <vertAlign val="subscript"/>
        <sz val="10"/>
        <rFont val="Arial"/>
        <family val="2"/>
      </rPr>
      <t>AC</t>
    </r>
    <r>
      <rPr>
        <sz val="10"/>
        <rFont val="Arial"/>
        <family val="2"/>
      </rPr>
      <t>=</t>
    </r>
  </si>
  <si>
    <t>lb-in</t>
  </si>
  <si>
    <t>design moment</t>
  </si>
  <si>
    <r>
      <t>C</t>
    </r>
    <r>
      <rPr>
        <vertAlign val="subscript"/>
        <sz val="10"/>
        <rFont val="Arial"/>
        <family val="2"/>
      </rPr>
      <t>AC</t>
    </r>
    <r>
      <rPr>
        <sz val="10"/>
        <rFont val="Arial"/>
        <family val="2"/>
      </rPr>
      <t>=</t>
    </r>
  </si>
  <si>
    <r>
      <t>I</t>
    </r>
    <r>
      <rPr>
        <vertAlign val="subscript"/>
        <sz val="10"/>
        <rFont val="Arial"/>
        <family val="2"/>
      </rPr>
      <t>AC</t>
    </r>
    <r>
      <rPr>
        <sz val="10"/>
        <rFont val="Arial"/>
        <family val="2"/>
      </rPr>
      <t>=</t>
    </r>
  </si>
  <si>
    <t>moment of inertia of the bolt group</t>
  </si>
  <si>
    <r>
      <t>W</t>
    </r>
    <r>
      <rPr>
        <vertAlign val="subscript"/>
        <sz val="10"/>
        <rFont val="Arial"/>
        <family val="2"/>
      </rPr>
      <t>AC</t>
    </r>
    <r>
      <rPr>
        <sz val="10"/>
        <rFont val="Arial"/>
        <family val="2"/>
      </rPr>
      <t>=</t>
    </r>
  </si>
  <si>
    <t>lbs</t>
  </si>
  <si>
    <t>force in one anchor bolt</t>
  </si>
  <si>
    <r>
      <t>f</t>
    </r>
    <r>
      <rPr>
        <vertAlign val="subscript"/>
        <sz val="10"/>
        <rFont val="Arial"/>
        <family val="2"/>
      </rPr>
      <t>tAC</t>
    </r>
    <r>
      <rPr>
        <sz val="10"/>
        <rFont val="Arial"/>
        <family val="2"/>
      </rPr>
      <t>=</t>
    </r>
  </si>
  <si>
    <r>
      <t>F</t>
    </r>
    <r>
      <rPr>
        <vertAlign val="subscript"/>
        <sz val="10"/>
        <rFont val="Arial"/>
        <family val="2"/>
      </rPr>
      <t>tac</t>
    </r>
    <r>
      <rPr>
        <sz val="10"/>
        <rFont val="Arial"/>
        <family val="2"/>
      </rPr>
      <t>=</t>
    </r>
  </si>
  <si>
    <t>AASHTO 5.17.4</t>
  </si>
  <si>
    <r>
      <t>f</t>
    </r>
    <r>
      <rPr>
        <vertAlign val="subscript"/>
        <sz val="10"/>
        <rFont val="Arial"/>
        <family val="2"/>
      </rPr>
      <t>VAC</t>
    </r>
    <r>
      <rPr>
        <sz val="10"/>
        <rFont val="Arial"/>
        <family val="2"/>
      </rPr>
      <t>=</t>
    </r>
  </si>
  <si>
    <r>
      <t>F</t>
    </r>
    <r>
      <rPr>
        <vertAlign val="subscript"/>
        <sz val="10"/>
        <rFont val="Arial"/>
        <family val="2"/>
      </rPr>
      <t>vAC</t>
    </r>
    <r>
      <rPr>
        <sz val="10"/>
        <rFont val="Arial"/>
        <family val="2"/>
      </rPr>
      <t>=</t>
    </r>
  </si>
  <si>
    <t>CSR:</t>
  </si>
  <si>
    <t>BASE PLATE DESIGN (FLORIDA DOT)</t>
  </si>
  <si>
    <t>M =</t>
  </si>
  <si>
    <t>in-lb</t>
  </si>
  <si>
    <r>
      <t>R</t>
    </r>
    <r>
      <rPr>
        <vertAlign val="subscript"/>
        <sz val="10"/>
        <rFont val="Arial"/>
        <family val="2"/>
      </rPr>
      <t>b</t>
    </r>
    <r>
      <rPr>
        <sz val="10"/>
        <rFont val="Arial"/>
        <family val="2"/>
      </rPr>
      <t xml:space="preserve"> =</t>
    </r>
  </si>
  <si>
    <r>
      <t>R</t>
    </r>
    <r>
      <rPr>
        <vertAlign val="subscript"/>
        <sz val="10"/>
        <rFont val="Arial"/>
        <family val="2"/>
      </rPr>
      <t>p</t>
    </r>
    <r>
      <rPr>
        <sz val="10"/>
        <rFont val="Arial"/>
        <family val="2"/>
      </rPr>
      <t xml:space="preserve"> =</t>
    </r>
  </si>
  <si>
    <r>
      <t>f</t>
    </r>
    <r>
      <rPr>
        <vertAlign val="subscript"/>
        <sz val="10"/>
        <rFont val="Arial"/>
        <family val="2"/>
      </rPr>
      <t>tBP</t>
    </r>
    <r>
      <rPr>
        <sz val="10"/>
        <rFont val="Arial"/>
        <family val="2"/>
      </rPr>
      <t>=</t>
    </r>
  </si>
  <si>
    <r>
      <t>F</t>
    </r>
    <r>
      <rPr>
        <vertAlign val="subscript"/>
        <sz val="10"/>
        <rFont val="Arial"/>
        <family val="2"/>
      </rPr>
      <t>b</t>
    </r>
    <r>
      <rPr>
        <sz val="10"/>
        <rFont val="Arial"/>
        <family val="2"/>
      </rPr>
      <t>=</t>
    </r>
  </si>
  <si>
    <t>AASHTO 5.8</t>
  </si>
  <si>
    <t>b =</t>
  </si>
  <si>
    <t>a =</t>
  </si>
  <si>
    <t xml:space="preserve">AASHTO 10.4.2.1 </t>
  </si>
  <si>
    <t>radians</t>
  </si>
  <si>
    <t>NA</t>
  </si>
  <si>
    <r>
      <t>+R</t>
    </r>
    <r>
      <rPr>
        <vertAlign val="subscript"/>
        <sz val="10"/>
        <rFont val="Arial"/>
        <family val="2"/>
      </rPr>
      <t>A</t>
    </r>
    <r>
      <rPr>
        <sz val="10"/>
        <rFont val="Arial"/>
        <family val="2"/>
      </rPr>
      <t>*(8R</t>
    </r>
    <r>
      <rPr>
        <vertAlign val="subscript"/>
        <sz val="10"/>
        <rFont val="Arial"/>
        <family val="2"/>
      </rPr>
      <t>A</t>
    </r>
    <r>
      <rPr>
        <vertAlign val="superscript"/>
        <sz val="10"/>
        <rFont val="Arial"/>
        <family val="2"/>
      </rPr>
      <t>2</t>
    </r>
    <r>
      <rPr>
        <sz val="10"/>
        <rFont val="Arial"/>
        <family val="2"/>
      </rPr>
      <t>/R</t>
    </r>
    <r>
      <rPr>
        <vertAlign val="subscript"/>
        <sz val="10"/>
        <rFont val="Arial"/>
        <family val="2"/>
      </rPr>
      <t>B</t>
    </r>
    <r>
      <rPr>
        <sz val="10"/>
        <rFont val="Arial"/>
        <family val="2"/>
      </rPr>
      <t>-R</t>
    </r>
    <r>
      <rPr>
        <vertAlign val="subscript"/>
        <sz val="10"/>
        <rFont val="Arial"/>
        <family val="2"/>
      </rPr>
      <t>A</t>
    </r>
    <r>
      <rPr>
        <vertAlign val="superscript"/>
        <sz val="10"/>
        <rFont val="Arial"/>
        <family val="2"/>
      </rPr>
      <t>3</t>
    </r>
    <r>
      <rPr>
        <sz val="10"/>
        <rFont val="Arial"/>
        <family val="2"/>
      </rPr>
      <t>/R</t>
    </r>
    <r>
      <rPr>
        <vertAlign val="subscript"/>
        <sz val="10"/>
        <rFont val="Arial"/>
        <family val="2"/>
      </rPr>
      <t>B</t>
    </r>
    <r>
      <rPr>
        <vertAlign val="superscript"/>
        <sz val="10"/>
        <rFont val="Arial"/>
        <family val="2"/>
      </rPr>
      <t>2</t>
    </r>
    <r>
      <rPr>
        <sz val="10"/>
        <rFont val="Arial"/>
        <family val="2"/>
      </rPr>
      <t>-8R</t>
    </r>
    <r>
      <rPr>
        <vertAlign val="subscript"/>
        <sz val="10"/>
        <rFont val="Arial"/>
        <family val="2"/>
      </rPr>
      <t>B</t>
    </r>
    <r>
      <rPr>
        <sz val="10"/>
        <rFont val="Arial"/>
        <family val="2"/>
      </rPr>
      <t>)</t>
    </r>
  </si>
  <si>
    <r>
      <t>+R</t>
    </r>
    <r>
      <rPr>
        <vertAlign val="subscript"/>
        <sz val="10"/>
        <rFont val="Arial"/>
        <family val="2"/>
      </rPr>
      <t>B</t>
    </r>
    <r>
      <rPr>
        <vertAlign val="superscript"/>
        <sz val="10"/>
        <rFont val="Arial"/>
        <family val="2"/>
      </rPr>
      <t>2</t>
    </r>
    <r>
      <rPr>
        <sz val="10"/>
        <rFont val="Arial"/>
        <family val="2"/>
      </rPr>
      <t>)]</t>
    </r>
  </si>
  <si>
    <r>
      <t>[12R</t>
    </r>
    <r>
      <rPr>
        <vertAlign val="subscript"/>
        <sz val="10"/>
        <rFont val="Arial"/>
        <family val="2"/>
      </rPr>
      <t>A</t>
    </r>
    <r>
      <rPr>
        <vertAlign val="superscript"/>
        <sz val="10"/>
        <rFont val="Arial"/>
        <family val="2"/>
      </rPr>
      <t>2</t>
    </r>
    <r>
      <rPr>
        <sz val="10"/>
        <rFont val="Arial"/>
        <family val="2"/>
      </rPr>
      <t>LN(R</t>
    </r>
    <r>
      <rPr>
        <vertAlign val="subscript"/>
        <sz val="10"/>
        <rFont val="Arial"/>
        <family val="2"/>
      </rPr>
      <t>B</t>
    </r>
    <r>
      <rPr>
        <sz val="10"/>
        <rFont val="Arial"/>
        <family val="2"/>
      </rPr>
      <t>/R</t>
    </r>
    <r>
      <rPr>
        <vertAlign val="subscript"/>
        <sz val="10"/>
        <rFont val="Arial"/>
        <family val="2"/>
      </rPr>
      <t>A</t>
    </r>
    <r>
      <rPr>
        <sz val="10"/>
        <rFont val="Arial"/>
        <family val="2"/>
      </rPr>
      <t>)</t>
    </r>
  </si>
  <si>
    <t>deflections for triangular load</t>
  </si>
  <si>
    <r>
      <t>WL</t>
    </r>
    <r>
      <rPr>
        <vertAlign val="superscript"/>
        <sz val="10"/>
        <rFont val="Arial"/>
        <family val="2"/>
      </rPr>
      <t>3</t>
    </r>
    <r>
      <rPr>
        <sz val="10"/>
        <rFont val="Arial"/>
        <family val="2"/>
      </rPr>
      <t>/6ECt(R</t>
    </r>
    <r>
      <rPr>
        <vertAlign val="subscript"/>
        <sz val="10"/>
        <rFont val="Arial"/>
        <family val="2"/>
      </rPr>
      <t>B</t>
    </r>
    <r>
      <rPr>
        <sz val="10"/>
        <rFont val="Arial"/>
        <family val="2"/>
      </rPr>
      <t>-R</t>
    </r>
    <r>
      <rPr>
        <vertAlign val="subscript"/>
        <sz val="10"/>
        <rFont val="Arial"/>
        <family val="2"/>
      </rPr>
      <t>A</t>
    </r>
    <r>
      <rPr>
        <sz val="10"/>
        <rFont val="Arial"/>
        <family val="2"/>
      </rPr>
      <t>)</t>
    </r>
    <r>
      <rPr>
        <vertAlign val="superscript"/>
        <sz val="10"/>
        <rFont val="Arial"/>
        <family val="2"/>
      </rPr>
      <t>5</t>
    </r>
  </si>
  <si>
    <r>
      <t>8R</t>
    </r>
    <r>
      <rPr>
        <vertAlign val="subscript"/>
        <sz val="10"/>
        <rFont val="Arial"/>
        <family val="2"/>
      </rPr>
      <t>A</t>
    </r>
    <r>
      <rPr>
        <vertAlign val="superscript"/>
        <sz val="10"/>
        <rFont val="Arial"/>
        <family val="2"/>
      </rPr>
      <t>2</t>
    </r>
    <r>
      <rPr>
        <sz val="10"/>
        <rFont val="Arial"/>
        <family val="2"/>
      </rPr>
      <t>/R</t>
    </r>
    <r>
      <rPr>
        <vertAlign val="subscript"/>
        <sz val="10"/>
        <rFont val="Arial"/>
        <family val="2"/>
      </rPr>
      <t>B</t>
    </r>
    <r>
      <rPr>
        <sz val="10"/>
        <rFont val="Arial"/>
        <family val="2"/>
      </rPr>
      <t/>
    </r>
  </si>
  <si>
    <r>
      <t>R</t>
    </r>
    <r>
      <rPr>
        <vertAlign val="subscript"/>
        <sz val="10"/>
        <rFont val="Arial"/>
        <family val="2"/>
      </rPr>
      <t>A</t>
    </r>
    <r>
      <rPr>
        <vertAlign val="superscript"/>
        <sz val="10"/>
        <rFont val="Arial"/>
        <family val="2"/>
      </rPr>
      <t>3</t>
    </r>
    <r>
      <rPr>
        <sz val="10"/>
        <rFont val="Arial"/>
        <family val="2"/>
      </rPr>
      <t>/R</t>
    </r>
    <r>
      <rPr>
        <vertAlign val="subscript"/>
        <sz val="10"/>
        <rFont val="Arial"/>
        <family val="2"/>
      </rPr>
      <t>B</t>
    </r>
    <r>
      <rPr>
        <vertAlign val="superscript"/>
        <sz val="10"/>
        <rFont val="Arial"/>
        <family val="2"/>
      </rPr>
      <t>2</t>
    </r>
    <r>
      <rPr>
        <sz val="10"/>
        <rFont val="Arial"/>
        <family val="2"/>
      </rPr>
      <t/>
    </r>
  </si>
  <si>
    <r>
      <t>8R</t>
    </r>
    <r>
      <rPr>
        <vertAlign val="subscript"/>
        <sz val="10"/>
        <rFont val="Arial"/>
        <family val="2"/>
      </rPr>
      <t>B</t>
    </r>
  </si>
  <si>
    <t>deflection at luminaire</t>
  </si>
  <si>
    <t>due to rotation</t>
  </si>
  <si>
    <r>
      <t>C</t>
    </r>
    <r>
      <rPr>
        <vertAlign val="subscript"/>
        <sz val="10"/>
        <rFont val="Arial"/>
        <family val="2"/>
      </rPr>
      <t>MAX</t>
    </r>
    <r>
      <rPr>
        <sz val="10"/>
        <rFont val="Arial"/>
        <family val="2"/>
      </rPr>
      <t xml:space="preserve"> =</t>
    </r>
  </si>
  <si>
    <r>
      <t>C</t>
    </r>
    <r>
      <rPr>
        <vertAlign val="subscript"/>
        <sz val="10"/>
        <rFont val="Arial"/>
        <family val="2"/>
      </rPr>
      <t>A</t>
    </r>
    <r>
      <rPr>
        <sz val="10"/>
        <rFont val="Arial"/>
        <family val="2"/>
      </rPr>
      <t xml:space="preserve"> =</t>
    </r>
  </si>
  <si>
    <r>
      <t>Allowable tensile stress (F</t>
    </r>
    <r>
      <rPr>
        <vertAlign val="subscript"/>
        <sz val="10"/>
        <rFont val="Arial"/>
        <family val="2"/>
      </rPr>
      <t xml:space="preserve">t </t>
    </r>
    <r>
      <rPr>
        <sz val="10"/>
        <rFont val="Arial"/>
        <family val="2"/>
      </rPr>
      <t>= 0.5F</t>
    </r>
    <r>
      <rPr>
        <vertAlign val="subscript"/>
        <sz val="10"/>
        <rFont val="Arial"/>
        <family val="2"/>
      </rPr>
      <t>y</t>
    </r>
    <r>
      <rPr>
        <sz val="10"/>
        <rFont val="Arial"/>
        <family val="2"/>
      </rPr>
      <t>)</t>
    </r>
  </si>
  <si>
    <r>
      <t>Allowable shear stress (F</t>
    </r>
    <r>
      <rPr>
        <vertAlign val="subscript"/>
        <sz val="10"/>
        <rFont val="Arial"/>
        <family val="2"/>
      </rPr>
      <t xml:space="preserve">v </t>
    </r>
    <r>
      <rPr>
        <sz val="10"/>
        <rFont val="Arial"/>
        <family val="2"/>
      </rPr>
      <t>= 0.3F</t>
    </r>
    <r>
      <rPr>
        <vertAlign val="subscript"/>
        <sz val="10"/>
        <rFont val="Arial"/>
        <family val="2"/>
      </rPr>
      <t>y</t>
    </r>
    <r>
      <rPr>
        <sz val="10"/>
        <rFont val="Arial"/>
        <family val="2"/>
      </rPr>
      <t>)</t>
    </r>
  </si>
  <si>
    <t>R=</t>
  </si>
  <si>
    <t>t=</t>
  </si>
  <si>
    <r>
      <t>I=R</t>
    </r>
    <r>
      <rPr>
        <vertAlign val="superscript"/>
        <sz val="10"/>
        <rFont val="Arial"/>
        <family val="2"/>
      </rPr>
      <t>3</t>
    </r>
    <r>
      <rPr>
        <sz val="10"/>
        <rFont val="Arial"/>
        <family val="2"/>
      </rPr>
      <t>t[1-3t/2R+t2/R</t>
    </r>
    <r>
      <rPr>
        <vertAlign val="superscript"/>
        <sz val="10"/>
        <rFont val="Arial"/>
        <family val="2"/>
      </rPr>
      <t>2</t>
    </r>
    <r>
      <rPr>
        <sz val="10"/>
        <rFont val="Arial"/>
        <family val="2"/>
      </rPr>
      <t>-t</t>
    </r>
    <r>
      <rPr>
        <vertAlign val="superscript"/>
        <sz val="10"/>
        <rFont val="Arial"/>
        <family val="2"/>
      </rPr>
      <t>3</t>
    </r>
    <r>
      <rPr>
        <sz val="10"/>
        <rFont val="Arial"/>
        <family val="2"/>
      </rPr>
      <t>/4R</t>
    </r>
    <r>
      <rPr>
        <vertAlign val="superscript"/>
        <sz val="10"/>
        <rFont val="Arial"/>
        <family val="2"/>
      </rPr>
      <t>3</t>
    </r>
    <r>
      <rPr>
        <sz val="10"/>
        <rFont val="Arial"/>
        <family val="2"/>
      </rPr>
      <t>) x (a + ina cos a-2sin</t>
    </r>
    <r>
      <rPr>
        <vertAlign val="superscript"/>
        <sz val="10"/>
        <rFont val="Arial"/>
        <family val="2"/>
      </rPr>
      <t>2</t>
    </r>
    <r>
      <rPr>
        <sz val="10"/>
        <rFont val="Arial"/>
        <family val="2"/>
      </rPr>
      <t>a/a) + t</t>
    </r>
    <r>
      <rPr>
        <vertAlign val="superscript"/>
        <sz val="10"/>
        <rFont val="Arial"/>
        <family val="2"/>
      </rPr>
      <t>2</t>
    </r>
    <r>
      <rPr>
        <sz val="10"/>
        <rFont val="Arial"/>
        <family val="2"/>
      </rPr>
      <t>sin</t>
    </r>
    <r>
      <rPr>
        <vertAlign val="superscript"/>
        <sz val="10"/>
        <rFont val="Arial"/>
        <family val="2"/>
      </rPr>
      <t>2</t>
    </r>
    <r>
      <rPr>
        <sz val="10"/>
        <rFont val="Arial"/>
        <family val="2"/>
      </rPr>
      <t>a/3R</t>
    </r>
    <r>
      <rPr>
        <vertAlign val="superscript"/>
        <sz val="10"/>
        <rFont val="Arial"/>
        <family val="2"/>
      </rPr>
      <t>2</t>
    </r>
    <r>
      <rPr>
        <sz val="10"/>
        <rFont val="Arial"/>
        <family val="2"/>
      </rPr>
      <t>a(w-t/R) (1-t/R+t</t>
    </r>
    <r>
      <rPr>
        <vertAlign val="superscript"/>
        <sz val="10"/>
        <rFont val="Arial"/>
        <family val="2"/>
      </rPr>
      <t>2</t>
    </r>
    <r>
      <rPr>
        <sz val="10"/>
        <rFont val="Arial"/>
        <family val="2"/>
      </rPr>
      <t>/6R</t>
    </r>
    <r>
      <rPr>
        <vertAlign val="superscript"/>
        <sz val="10"/>
        <rFont val="Arial"/>
        <family val="2"/>
      </rPr>
      <t>2</t>
    </r>
    <r>
      <rPr>
        <sz val="10"/>
        <rFont val="Arial"/>
        <family val="2"/>
      </rPr>
      <t>)]</t>
    </r>
  </si>
  <si>
    <r>
      <t xml:space="preserve"> t</t>
    </r>
    <r>
      <rPr>
        <vertAlign val="superscript"/>
        <sz val="10"/>
        <rFont val="Arial"/>
        <family val="2"/>
      </rPr>
      <t>2</t>
    </r>
    <r>
      <rPr>
        <sz val="10"/>
        <rFont val="Arial"/>
        <family val="2"/>
      </rPr>
      <t>sin</t>
    </r>
    <r>
      <rPr>
        <vertAlign val="superscript"/>
        <sz val="10"/>
        <rFont val="Arial"/>
        <family val="2"/>
      </rPr>
      <t>2</t>
    </r>
    <r>
      <rPr>
        <sz val="10"/>
        <rFont val="Arial"/>
        <family val="2"/>
      </rPr>
      <t>a/3R</t>
    </r>
    <r>
      <rPr>
        <vertAlign val="superscript"/>
        <sz val="10"/>
        <rFont val="Arial"/>
        <family val="2"/>
      </rPr>
      <t>2</t>
    </r>
    <r>
      <rPr>
        <sz val="10"/>
        <rFont val="Arial"/>
        <family val="2"/>
      </rPr>
      <t>a(w-t/R) (1-t/R+t</t>
    </r>
    <r>
      <rPr>
        <vertAlign val="superscript"/>
        <sz val="10"/>
        <rFont val="Arial"/>
        <family val="2"/>
      </rPr>
      <t>2</t>
    </r>
    <r>
      <rPr>
        <sz val="10"/>
        <rFont val="Arial"/>
        <family val="2"/>
      </rPr>
      <t>/6R</t>
    </r>
    <r>
      <rPr>
        <vertAlign val="superscript"/>
        <sz val="10"/>
        <rFont val="Arial"/>
        <family val="2"/>
      </rPr>
      <t>2</t>
    </r>
    <r>
      <rPr>
        <sz val="10"/>
        <rFont val="Arial"/>
        <family val="2"/>
      </rPr>
      <t>)]</t>
    </r>
  </si>
  <si>
    <r>
      <t>R</t>
    </r>
    <r>
      <rPr>
        <vertAlign val="superscript"/>
        <sz val="10"/>
        <rFont val="Arial"/>
        <family val="2"/>
      </rPr>
      <t>3</t>
    </r>
    <r>
      <rPr>
        <sz val="10"/>
        <rFont val="Arial"/>
        <family val="2"/>
      </rPr>
      <t>t</t>
    </r>
  </si>
  <si>
    <r>
      <t>I=R</t>
    </r>
    <r>
      <rPr>
        <vertAlign val="superscript"/>
        <sz val="10"/>
        <rFont val="Arial"/>
        <family val="2"/>
      </rPr>
      <t>3</t>
    </r>
    <r>
      <rPr>
        <sz val="10"/>
        <rFont val="Arial"/>
        <family val="2"/>
      </rPr>
      <t>t(1-3t/2R+t</t>
    </r>
    <r>
      <rPr>
        <vertAlign val="superscript"/>
        <sz val="10"/>
        <rFont val="Arial"/>
        <family val="2"/>
      </rPr>
      <t>2</t>
    </r>
    <r>
      <rPr>
        <sz val="10"/>
        <rFont val="Arial"/>
        <family val="2"/>
      </rPr>
      <t>/R</t>
    </r>
    <r>
      <rPr>
        <vertAlign val="superscript"/>
        <sz val="10"/>
        <rFont val="Arial"/>
        <family val="2"/>
      </rPr>
      <t>2</t>
    </r>
    <r>
      <rPr>
        <sz val="10"/>
        <rFont val="Arial"/>
        <family val="2"/>
      </rPr>
      <t>-t</t>
    </r>
    <r>
      <rPr>
        <vertAlign val="superscript"/>
        <sz val="10"/>
        <rFont val="Arial"/>
        <family val="2"/>
      </rPr>
      <t>3</t>
    </r>
    <r>
      <rPr>
        <sz val="10"/>
        <rFont val="Arial"/>
        <family val="2"/>
      </rPr>
      <t>/4R</t>
    </r>
    <r>
      <rPr>
        <vertAlign val="superscript"/>
        <sz val="10"/>
        <rFont val="Arial"/>
        <family val="2"/>
      </rPr>
      <t>3</t>
    </r>
    <r>
      <rPr>
        <sz val="10"/>
        <rFont val="Arial"/>
        <family val="2"/>
      </rPr>
      <t>)(a-sin(a)cos(a))</t>
    </r>
  </si>
  <si>
    <r>
      <t>(1-3t/2R+t</t>
    </r>
    <r>
      <rPr>
        <vertAlign val="superscript"/>
        <sz val="10"/>
        <rFont val="Arial"/>
        <family val="2"/>
      </rPr>
      <t>2</t>
    </r>
    <r>
      <rPr>
        <sz val="10"/>
        <rFont val="Arial"/>
        <family val="2"/>
      </rPr>
      <t>/R</t>
    </r>
    <r>
      <rPr>
        <vertAlign val="superscript"/>
        <sz val="10"/>
        <rFont val="Arial"/>
        <family val="2"/>
      </rPr>
      <t>2</t>
    </r>
    <r>
      <rPr>
        <sz val="10"/>
        <rFont val="Arial"/>
        <family val="2"/>
      </rPr>
      <t>-t</t>
    </r>
    <r>
      <rPr>
        <vertAlign val="superscript"/>
        <sz val="10"/>
        <rFont val="Arial"/>
        <family val="2"/>
      </rPr>
      <t>3</t>
    </r>
    <r>
      <rPr>
        <sz val="10"/>
        <rFont val="Arial"/>
        <family val="2"/>
      </rPr>
      <t>/4R</t>
    </r>
    <r>
      <rPr>
        <vertAlign val="superscript"/>
        <sz val="10"/>
        <rFont val="Arial"/>
        <family val="2"/>
      </rPr>
      <t>3</t>
    </r>
    <r>
      <rPr>
        <sz val="10"/>
        <rFont val="Arial"/>
        <family val="2"/>
      </rPr>
      <t>)</t>
    </r>
  </si>
  <si>
    <t>(a-sin(a)cos(a))</t>
  </si>
  <si>
    <t>Introduction:</t>
  </si>
  <si>
    <t>Instructions:</t>
  </si>
  <si>
    <t>VERSION #</t>
  </si>
  <si>
    <t>REVISION DATE</t>
  </si>
  <si>
    <t>REVISION</t>
  </si>
  <si>
    <t>REASON FOR REVISION</t>
  </si>
  <si>
    <t>N/A</t>
  </si>
  <si>
    <t>Project:</t>
  </si>
  <si>
    <t>Intersection:</t>
  </si>
  <si>
    <t>SR XX &amp; SR XX</t>
  </si>
  <si>
    <t>Input By:</t>
  </si>
  <si>
    <t>MEC</t>
  </si>
  <si>
    <t>Date:</t>
  </si>
  <si>
    <t>Checked By:</t>
  </si>
  <si>
    <t>XXX</t>
  </si>
  <si>
    <t>Spreadsheet Assumptions and References:</t>
  </si>
  <si>
    <t>Loading Input:</t>
  </si>
  <si>
    <t>Loading ID</t>
  </si>
  <si>
    <t>Description</t>
  </si>
  <si>
    <t>None</t>
  </si>
  <si>
    <t>A-3</t>
  </si>
  <si>
    <t>A-5</t>
  </si>
  <si>
    <t>Sign</t>
  </si>
  <si>
    <t>30" x 36"</t>
  </si>
  <si>
    <t>Sign Size (in)</t>
  </si>
  <si>
    <t>Q</t>
  </si>
  <si>
    <t>Number of signal sections, each direction</t>
  </si>
  <si>
    <t>A-4</t>
  </si>
  <si>
    <t>Examples</t>
  </si>
  <si>
    <t>Signals:</t>
  </si>
  <si>
    <t>Signs</t>
  </si>
  <si>
    <t>72" x 21"</t>
  </si>
  <si>
    <t>B-3</t>
  </si>
  <si>
    <t>96" x 32"</t>
  </si>
  <si>
    <t>C-3</t>
  </si>
  <si>
    <t>B-4</t>
  </si>
  <si>
    <t>C-4</t>
  </si>
  <si>
    <t>B-5</t>
  </si>
  <si>
    <t>D-3</t>
  </si>
  <si>
    <t>E-3</t>
  </si>
  <si>
    <t>D-4</t>
  </si>
  <si>
    <t>E-4</t>
  </si>
  <si>
    <t>F-3</t>
  </si>
  <si>
    <t>F-4</t>
  </si>
  <si>
    <t>Material:</t>
  </si>
  <si>
    <r>
      <t>F</t>
    </r>
    <r>
      <rPr>
        <vertAlign val="subscript"/>
        <sz val="10"/>
        <rFont val="Arial"/>
        <family val="2"/>
      </rPr>
      <t>y</t>
    </r>
    <r>
      <rPr>
        <sz val="10"/>
        <rFont val="Arial"/>
        <family val="2"/>
      </rPr>
      <t xml:space="preserve"> =</t>
    </r>
  </si>
  <si>
    <t>PICK LISTS:</t>
  </si>
  <si>
    <r>
      <t>If "Other", enter F</t>
    </r>
    <r>
      <rPr>
        <vertAlign val="subscript"/>
        <sz val="10"/>
        <rFont val="Arial"/>
        <family val="2"/>
      </rPr>
      <t>y</t>
    </r>
    <r>
      <rPr>
        <sz val="10"/>
        <rFont val="Arial"/>
        <family val="2"/>
      </rPr>
      <t xml:space="preserve"> here:</t>
    </r>
  </si>
  <si>
    <t>Other</t>
  </si>
  <si>
    <t>Signal Configuration - Signal Sections Each Direction</t>
  </si>
  <si>
    <t>Load With Back Plate (lbs)</t>
  </si>
  <si>
    <r>
      <t>Wind Area w/ 5" Backplate Border (ft</t>
    </r>
    <r>
      <rPr>
        <b/>
        <vertAlign val="superscript"/>
        <sz val="10"/>
        <rFont val="Arial"/>
        <family val="2"/>
      </rPr>
      <t>2</t>
    </r>
    <r>
      <rPr>
        <b/>
        <sz val="10"/>
        <rFont val="Arial"/>
        <family val="2"/>
      </rPr>
      <t>)</t>
    </r>
  </si>
  <si>
    <r>
      <t>Ice Area = 2 · Wind Area +2 ft</t>
    </r>
    <r>
      <rPr>
        <b/>
        <vertAlign val="superscript"/>
        <sz val="10"/>
        <rFont val="Arial"/>
        <family val="2"/>
      </rPr>
      <t>2</t>
    </r>
  </si>
  <si>
    <t>Sign Sizes (LxW)</t>
  </si>
  <si>
    <t>Load (lbs)</t>
  </si>
  <si>
    <r>
      <t>Surface Area (ft</t>
    </r>
    <r>
      <rPr>
        <b/>
        <vertAlign val="superscript"/>
        <sz val="10"/>
        <rFont val="Arial"/>
        <family val="2"/>
      </rPr>
      <t>2</t>
    </r>
    <r>
      <rPr>
        <b/>
        <sz val="10"/>
        <rFont val="Arial"/>
        <family val="2"/>
      </rPr>
      <t>)</t>
    </r>
  </si>
  <si>
    <r>
      <t>F</t>
    </r>
    <r>
      <rPr>
        <b/>
        <vertAlign val="subscript"/>
        <sz val="10"/>
        <rFont val="Arial"/>
        <family val="2"/>
      </rPr>
      <t>y</t>
    </r>
    <r>
      <rPr>
        <b/>
        <sz val="10"/>
        <rFont val="Arial"/>
        <family val="2"/>
      </rPr>
      <t xml:space="preserve"> (ksi)</t>
    </r>
  </si>
  <si>
    <t>Yes</t>
  </si>
  <si>
    <t>No</t>
  </si>
  <si>
    <t>Materials:</t>
  </si>
  <si>
    <t>Geometry:</t>
  </si>
  <si>
    <t>Wall Thickness =</t>
  </si>
  <si>
    <t>Shape</t>
  </si>
  <si>
    <t>Round</t>
  </si>
  <si>
    <t>12-sided</t>
  </si>
  <si>
    <t>8-sided</t>
  </si>
  <si>
    <t>16-sided</t>
  </si>
  <si>
    <t>4-sided</t>
  </si>
  <si>
    <t>Fatigue Category</t>
  </si>
  <si>
    <t>B</t>
  </si>
  <si>
    <t>B'</t>
  </si>
  <si>
    <t>D</t>
  </si>
  <si>
    <t>E</t>
  </si>
  <si>
    <t>E'</t>
  </si>
  <si>
    <t>ET</t>
  </si>
  <si>
    <r>
      <t>K</t>
    </r>
    <r>
      <rPr>
        <vertAlign val="subscript"/>
        <sz val="10"/>
        <rFont val="Arial"/>
        <family val="2"/>
      </rPr>
      <t>2</t>
    </r>
  </si>
  <si>
    <t>Thickness =</t>
  </si>
  <si>
    <t>Yes/No</t>
  </si>
  <si>
    <t>Enter "Yes/No" if a luminare is present</t>
  </si>
  <si>
    <t>Bottom O.D. =</t>
  </si>
  <si>
    <t>Top O.D. =</t>
  </si>
  <si>
    <t>(in) Diameter at top of base plate</t>
  </si>
  <si>
    <t>(in) Post wall thickness</t>
  </si>
  <si>
    <t>Shape :</t>
  </si>
  <si>
    <t>Handhole:</t>
  </si>
  <si>
    <t>Base Plate Geometry and Material</t>
  </si>
  <si>
    <t>Base Plate:</t>
  </si>
  <si>
    <t>Anchor Bolts:</t>
  </si>
  <si>
    <t>Anchor Bolt Material</t>
  </si>
  <si>
    <t>(in) Base plate outside diameter</t>
  </si>
  <si>
    <t>(in) Base plate thickness</t>
  </si>
  <si>
    <t>Outside Diameter =</t>
  </si>
  <si>
    <t>Quantity =</t>
  </si>
  <si>
    <t>Number of anchor bolts</t>
  </si>
  <si>
    <t>Anchor Bolt Dia. =</t>
  </si>
  <si>
    <t>(in) Nominal diameter of anchor bolts</t>
  </si>
  <si>
    <t>Bolt Circle Dia. =</t>
  </si>
  <si>
    <t>(in) Diameter of bolt pattern</t>
  </si>
  <si>
    <t>Actual</t>
  </si>
  <si>
    <t>Allowable</t>
  </si>
  <si>
    <t>Specification Check</t>
  </si>
  <si>
    <t>Bending Stress (psi)</t>
  </si>
  <si>
    <t>Check</t>
  </si>
  <si>
    <t>Combined Axial, Bending &amp; Shear (Ratio)</t>
  </si>
  <si>
    <t>Axial Stress (psi)</t>
  </si>
  <si>
    <t>Stress at Handhole</t>
  </si>
  <si>
    <t>Base Plate</t>
  </si>
  <si>
    <t>Compact Limit</t>
  </si>
  <si>
    <t>Non-compact Limit</t>
  </si>
  <si>
    <t>Maximum Limit</t>
  </si>
  <si>
    <t>E=</t>
  </si>
  <si>
    <t>Arm/Post Material</t>
  </si>
  <si>
    <t>Base/Connection Plate Materials</t>
  </si>
  <si>
    <t>Width to Thickness Ratio Limits</t>
  </si>
  <si>
    <t xml:space="preserve"> Non-Compact Section</t>
  </si>
  <si>
    <t>Slender Section</t>
  </si>
  <si>
    <t>Allowable Bending Stress (psi)</t>
  </si>
  <si>
    <t>Location =</t>
  </si>
  <si>
    <t>ft (from connection)</t>
  </si>
  <si>
    <t>D =</t>
  </si>
  <si>
    <t>Section Shape =</t>
  </si>
  <si>
    <t>Section Geometry</t>
  </si>
  <si>
    <t>Number of Sides</t>
  </si>
  <si>
    <t>n =</t>
  </si>
  <si>
    <t>(number of sides)</t>
  </si>
  <si>
    <t>D/t, b/t =</t>
  </si>
  <si>
    <t>Cross Sectional Constant, C</t>
  </si>
  <si>
    <t>Number of Sides:</t>
  </si>
  <si>
    <t>Load</t>
  </si>
  <si>
    <t>Group</t>
  </si>
  <si>
    <t>Radius of Gyration, r  Constant</t>
  </si>
  <si>
    <r>
      <t>f</t>
    </r>
    <r>
      <rPr>
        <b/>
        <vertAlign val="subscript"/>
        <sz val="10"/>
        <rFont val="Arial"/>
        <family val="2"/>
      </rPr>
      <t>z</t>
    </r>
    <r>
      <rPr>
        <b/>
        <sz val="10"/>
        <rFont val="Arial"/>
        <family val="2"/>
      </rPr>
      <t xml:space="preserve"> (psi)</t>
    </r>
  </si>
  <si>
    <t>Shear Stress Constant</t>
  </si>
  <si>
    <t>Check Allowable Bending Stresses:</t>
  </si>
  <si>
    <t>Compact Limit:</t>
  </si>
  <si>
    <r>
      <t>Allowable, F</t>
    </r>
    <r>
      <rPr>
        <vertAlign val="subscript"/>
        <sz val="10"/>
        <rFont val="Arial"/>
        <family val="2"/>
      </rPr>
      <t>b</t>
    </r>
    <r>
      <rPr>
        <sz val="10"/>
        <rFont val="Arial"/>
        <family val="2"/>
      </rPr>
      <t xml:space="preserve"> (psi)</t>
    </r>
  </si>
  <si>
    <r>
      <t>Actual, f</t>
    </r>
    <r>
      <rPr>
        <vertAlign val="subscript"/>
        <sz val="10"/>
        <rFont val="Arial"/>
        <family val="2"/>
      </rPr>
      <t>b</t>
    </r>
    <r>
      <rPr>
        <sz val="10"/>
        <rFont val="Arial"/>
        <family val="2"/>
      </rPr>
      <t xml:space="preserve"> (psi)</t>
    </r>
  </si>
  <si>
    <t>Limit =</t>
  </si>
  <si>
    <t>=</t>
  </si>
  <si>
    <t xml:space="preserve">≤ 1.0 </t>
  </si>
  <si>
    <t>Check Combined Allowable:</t>
  </si>
  <si>
    <t>Fatigue Limit (ksi)</t>
  </si>
  <si>
    <t>Check:</t>
  </si>
  <si>
    <t>R =</t>
  </si>
  <si>
    <r>
      <t>r</t>
    </r>
    <r>
      <rPr>
        <vertAlign val="subscript"/>
        <sz val="10"/>
        <rFont val="Arial"/>
        <family val="2"/>
      </rPr>
      <t>b</t>
    </r>
    <r>
      <rPr>
        <sz val="10"/>
        <rFont val="Arial"/>
        <family val="2"/>
      </rPr>
      <t xml:space="preserve"> =</t>
    </r>
  </si>
  <si>
    <t>rs =</t>
  </si>
  <si>
    <r>
      <t>V</t>
    </r>
    <r>
      <rPr>
        <b/>
        <vertAlign val="subscript"/>
        <sz val="10"/>
        <rFont val="Arial"/>
        <family val="2"/>
      </rPr>
      <t>fm</t>
    </r>
    <r>
      <rPr>
        <b/>
        <sz val="10"/>
        <rFont val="Arial"/>
        <family val="2"/>
      </rPr>
      <t>d ≤ 32</t>
    </r>
  </si>
  <si>
    <r>
      <t>32 &lt; V</t>
    </r>
    <r>
      <rPr>
        <b/>
        <vertAlign val="subscript"/>
        <sz val="10"/>
        <rFont val="Arial"/>
        <family val="2"/>
      </rPr>
      <t>fm</t>
    </r>
    <r>
      <rPr>
        <b/>
        <sz val="10"/>
        <rFont val="Arial"/>
        <family val="2"/>
      </rPr>
      <t>d &lt; 64</t>
    </r>
  </si>
  <si>
    <r>
      <t>V</t>
    </r>
    <r>
      <rPr>
        <b/>
        <vertAlign val="subscript"/>
        <sz val="10"/>
        <rFont val="Arial"/>
        <family val="2"/>
      </rPr>
      <t>fm</t>
    </r>
    <r>
      <rPr>
        <b/>
        <sz val="10"/>
        <rFont val="Arial"/>
        <family val="2"/>
      </rPr>
      <t>d ≥ 64</t>
    </r>
  </si>
  <si>
    <t>Controlling</t>
  </si>
  <si>
    <t>Fatigue Detail Category</t>
  </si>
  <si>
    <t>Overstress Ratio:</t>
  </si>
  <si>
    <t>Connection Plate Bolt Dia</t>
  </si>
  <si>
    <t>Minimum Base Plate Thickness</t>
  </si>
  <si>
    <t>&gt;13"</t>
  </si>
  <si>
    <t>≥19"</t>
  </si>
  <si>
    <t>Minimum Plate Thickness</t>
  </si>
  <si>
    <t>≥ 6"</t>
  </si>
  <si>
    <t>&lt; 6"</t>
  </si>
  <si>
    <t>Geometry</t>
  </si>
  <si>
    <t>Shape:</t>
  </si>
  <si>
    <t>Actual Taper:</t>
  </si>
  <si>
    <t>Minimum Taper =</t>
  </si>
  <si>
    <t>Maximum Taper =</t>
  </si>
  <si>
    <t>(Pub 408, Sec 1104.02(a)2)</t>
  </si>
  <si>
    <t>Taper:</t>
  </si>
  <si>
    <t>Taper Rate:</t>
  </si>
  <si>
    <t>Mast Arms</t>
  </si>
  <si>
    <t>18PED: A-1</t>
  </si>
  <si>
    <t>18PED: C-1</t>
  </si>
  <si>
    <t>Signal Config. /Sign Size</t>
  </si>
  <si>
    <t xml:space="preserve"> Weight (lb)</t>
  </si>
  <si>
    <t>Area         (sf)</t>
  </si>
  <si>
    <t>Mounting Height          (ft)</t>
  </si>
  <si>
    <t>Depth         (ft)</t>
  </si>
  <si>
    <t>Ice Area (sf)</t>
  </si>
  <si>
    <t>Extension</t>
  </si>
  <si>
    <t>Luminaire</t>
  </si>
  <si>
    <t>Post</t>
  </si>
  <si>
    <t>Force Y (lb)</t>
  </si>
  <si>
    <t>Force Z (lb)</t>
  </si>
  <si>
    <t>Mom X    (lb-ft)</t>
  </si>
  <si>
    <t>Mom Z        (lb-ft)</t>
  </si>
  <si>
    <t>Mom Y      (lb-ft)</t>
  </si>
  <si>
    <t>Force X (lb)</t>
  </si>
  <si>
    <t>Moment     (lb-ft)</t>
  </si>
  <si>
    <t>Shear           (lb)</t>
  </si>
  <si>
    <t>Vector Additions</t>
  </si>
  <si>
    <r>
      <t>f</t>
    </r>
    <r>
      <rPr>
        <b/>
        <vertAlign val="subscript"/>
        <sz val="10"/>
        <rFont val="Arial"/>
        <family val="2"/>
      </rPr>
      <t>x</t>
    </r>
    <r>
      <rPr>
        <b/>
        <sz val="10"/>
        <rFont val="Arial"/>
        <family val="2"/>
      </rPr>
      <t xml:space="preserve">           (psi)</t>
    </r>
  </si>
  <si>
    <r>
      <t>f</t>
    </r>
    <r>
      <rPr>
        <b/>
        <vertAlign val="subscript"/>
        <sz val="10"/>
        <rFont val="Arial"/>
        <family val="2"/>
      </rPr>
      <t>z</t>
    </r>
    <r>
      <rPr>
        <b/>
        <sz val="10"/>
        <rFont val="Arial"/>
        <family val="2"/>
      </rPr>
      <t xml:space="preserve">                (psi)</t>
    </r>
  </si>
  <si>
    <r>
      <t>f</t>
    </r>
    <r>
      <rPr>
        <b/>
        <vertAlign val="subscript"/>
        <sz val="10"/>
        <rFont val="Arial"/>
        <family val="2"/>
      </rPr>
      <t>b</t>
    </r>
    <r>
      <rPr>
        <b/>
        <sz val="10"/>
        <rFont val="Arial"/>
        <family val="2"/>
      </rPr>
      <t xml:space="preserve">              (psi)</t>
    </r>
  </si>
  <si>
    <r>
      <t>f</t>
    </r>
    <r>
      <rPr>
        <b/>
        <vertAlign val="subscript"/>
        <sz val="10"/>
        <rFont val="Arial"/>
        <family val="2"/>
      </rPr>
      <t>vb</t>
    </r>
    <r>
      <rPr>
        <b/>
        <sz val="10"/>
        <rFont val="Arial"/>
        <family val="2"/>
      </rPr>
      <t xml:space="preserve">             (psi)</t>
    </r>
  </si>
  <si>
    <r>
      <t>f</t>
    </r>
    <r>
      <rPr>
        <b/>
        <vertAlign val="subscript"/>
        <sz val="10"/>
        <rFont val="Arial"/>
        <family val="2"/>
      </rPr>
      <t>vt</t>
    </r>
    <r>
      <rPr>
        <b/>
        <sz val="10"/>
        <rFont val="Arial"/>
        <family val="2"/>
      </rPr>
      <t xml:space="preserve">               (psi)</t>
    </r>
  </si>
  <si>
    <r>
      <t>f</t>
    </r>
    <r>
      <rPr>
        <b/>
        <vertAlign val="subscript"/>
        <sz val="10"/>
        <rFont val="Arial"/>
        <family val="2"/>
      </rPr>
      <t>a</t>
    </r>
    <r>
      <rPr>
        <b/>
        <sz val="10"/>
        <rFont val="Arial"/>
        <family val="2"/>
      </rPr>
      <t xml:space="preserve">               (psi)</t>
    </r>
  </si>
  <si>
    <t>Misc. Attachments</t>
  </si>
  <si>
    <t>Base</t>
  </si>
  <si>
    <r>
      <t>f</t>
    </r>
    <r>
      <rPr>
        <b/>
        <vertAlign val="subscript"/>
        <sz val="10"/>
        <rFont val="Arial"/>
        <family val="2"/>
      </rPr>
      <t>x</t>
    </r>
    <r>
      <rPr>
        <b/>
        <sz val="10"/>
        <rFont val="Arial"/>
        <family val="2"/>
      </rPr>
      <t xml:space="preserve"> (psi)</t>
    </r>
  </si>
  <si>
    <t xml:space="preserve">@ Hand Hole </t>
  </si>
  <si>
    <t>@ Base</t>
  </si>
  <si>
    <t>Torsion Stress Factor</t>
  </si>
  <si>
    <r>
      <t>k</t>
    </r>
    <r>
      <rPr>
        <vertAlign val="subscript"/>
        <sz val="10"/>
        <rFont val="Arial"/>
        <family val="2"/>
      </rPr>
      <t>t</t>
    </r>
    <r>
      <rPr>
        <sz val="10"/>
        <rFont val="Arial"/>
        <family val="2"/>
      </rPr>
      <t xml:space="preserve"> =</t>
    </r>
  </si>
  <si>
    <t>n' =</t>
  </si>
  <si>
    <t>Load Group</t>
  </si>
  <si>
    <t>Stresses at Handhole</t>
  </si>
  <si>
    <t>Stresses at Base</t>
  </si>
  <si>
    <r>
      <t>f</t>
    </r>
    <r>
      <rPr>
        <b/>
        <vertAlign val="subscript"/>
        <sz val="10"/>
        <rFont val="Arial"/>
        <family val="2"/>
      </rPr>
      <t>v</t>
    </r>
    <r>
      <rPr>
        <b/>
        <sz val="10"/>
        <rFont val="Arial"/>
        <family val="2"/>
      </rPr>
      <t xml:space="preserve">               (psi)</t>
    </r>
  </si>
  <si>
    <r>
      <t>f</t>
    </r>
    <r>
      <rPr>
        <b/>
        <vertAlign val="subscript"/>
        <sz val="10"/>
        <rFont val="Arial"/>
        <family val="2"/>
      </rPr>
      <t>v</t>
    </r>
    <r>
      <rPr>
        <b/>
        <sz val="10"/>
        <rFont val="Arial"/>
        <family val="2"/>
      </rPr>
      <t xml:space="preserve">              (psi)</t>
    </r>
  </si>
  <si>
    <t>Non Compact Limit:</t>
  </si>
  <si>
    <t>Maximum Limit:</t>
  </si>
  <si>
    <t>ft (from base)</t>
  </si>
  <si>
    <t>Hand Hole</t>
  </si>
  <si>
    <t>Location</t>
  </si>
  <si>
    <t>D/t , b/t:</t>
  </si>
  <si>
    <t>Check Allowable Shear Stresses:</t>
  </si>
  <si>
    <t>Distance From Base (ft)</t>
  </si>
  <si>
    <r>
      <t>0.33 · F</t>
    </r>
    <r>
      <rPr>
        <vertAlign val="subscript"/>
        <sz val="10"/>
        <rFont val="Arial"/>
        <family val="2"/>
      </rPr>
      <t>y</t>
    </r>
  </si>
  <si>
    <r>
      <t>Allowable,  F</t>
    </r>
    <r>
      <rPr>
        <vertAlign val="subscript"/>
        <sz val="10"/>
        <rFont val="Arial"/>
        <family val="2"/>
      </rPr>
      <t xml:space="preserve">V </t>
    </r>
    <r>
      <rPr>
        <sz val="10"/>
        <rFont val="Arial"/>
        <family val="2"/>
      </rPr>
      <t>(psi)</t>
    </r>
  </si>
  <si>
    <r>
      <t>Total Shear (Torsion + Direct), f</t>
    </r>
    <r>
      <rPr>
        <vertAlign val="subscript"/>
        <sz val="10"/>
        <rFont val="Arial"/>
        <family val="2"/>
      </rPr>
      <t>v</t>
    </r>
    <r>
      <rPr>
        <sz val="10"/>
        <rFont val="Arial"/>
        <family val="2"/>
      </rPr>
      <t xml:space="preserve"> (psi)</t>
    </r>
  </si>
  <si>
    <t>D/t, b/t:</t>
  </si>
  <si>
    <t>AASHTO 4.6.1 &amp; 4.8.1</t>
  </si>
  <si>
    <t xml:space="preserve"> </t>
  </si>
  <si>
    <r>
      <t>√(2·π²·E ÷ F</t>
    </r>
    <r>
      <rPr>
        <vertAlign val="subscript"/>
        <sz val="10"/>
        <rFont val="Arial"/>
        <family val="2"/>
      </rPr>
      <t>y</t>
    </r>
    <r>
      <rPr>
        <sz val="10"/>
        <rFont val="Arial"/>
        <family val="2"/>
      </rPr>
      <t>) =</t>
    </r>
  </si>
  <si>
    <t xml:space="preserve">AASHTO 5.12.1 </t>
  </si>
  <si>
    <t>SUM:</t>
  </si>
  <si>
    <t>Y-BAR =</t>
  </si>
  <si>
    <t>Middle O.D. =</t>
  </si>
  <si>
    <t>Taper Rate =</t>
  </si>
  <si>
    <t>Location (ft)</t>
  </si>
  <si>
    <t>Circumference (in)=</t>
  </si>
  <si>
    <t>Constant =</t>
  </si>
  <si>
    <r>
      <t>V</t>
    </r>
    <r>
      <rPr>
        <b/>
        <vertAlign val="subscript"/>
        <sz val="10"/>
        <rFont val="Arial"/>
        <family val="2"/>
      </rPr>
      <t xml:space="preserve">fm           </t>
    </r>
    <r>
      <rPr>
        <b/>
        <sz val="10"/>
        <rFont val="Arial"/>
        <family val="2"/>
      </rPr>
      <t>(mph)</t>
    </r>
  </si>
  <si>
    <r>
      <t>C</t>
    </r>
    <r>
      <rPr>
        <b/>
        <vertAlign val="subscript"/>
        <sz val="10"/>
        <rFont val="Arial"/>
        <family val="2"/>
      </rPr>
      <t xml:space="preserve">d </t>
    </r>
    <r>
      <rPr>
        <b/>
        <sz val="10"/>
        <rFont val="Arial"/>
        <family val="2"/>
      </rPr>
      <t>* C</t>
    </r>
    <r>
      <rPr>
        <b/>
        <vertAlign val="subscript"/>
        <sz val="10"/>
        <rFont val="Arial"/>
        <family val="2"/>
      </rPr>
      <t>h</t>
    </r>
  </si>
  <si>
    <r>
      <t>Base M</t>
    </r>
    <r>
      <rPr>
        <b/>
        <vertAlign val="subscript"/>
        <sz val="10"/>
        <rFont val="Arial"/>
        <family val="2"/>
      </rPr>
      <t>X</t>
    </r>
    <r>
      <rPr>
        <b/>
        <sz val="10"/>
        <rFont val="Arial"/>
        <family val="2"/>
      </rPr>
      <t xml:space="preserve">              (lb-ft)</t>
    </r>
  </si>
  <si>
    <r>
      <t>Handhole M</t>
    </r>
    <r>
      <rPr>
        <b/>
        <vertAlign val="subscript"/>
        <sz val="10"/>
        <rFont val="Arial"/>
        <family val="2"/>
      </rPr>
      <t>x</t>
    </r>
    <r>
      <rPr>
        <b/>
        <sz val="10"/>
        <rFont val="Arial"/>
        <family val="2"/>
      </rPr>
      <t xml:space="preserve">                 (lb-ft)</t>
    </r>
  </si>
  <si>
    <t>Self-weight:</t>
  </si>
  <si>
    <t>Wind:</t>
  </si>
  <si>
    <t>Luminaire Arm</t>
  </si>
  <si>
    <t>Ice:</t>
  </si>
  <si>
    <t>Ice :</t>
  </si>
  <si>
    <t>Self Weight:</t>
  </si>
  <si>
    <r>
      <t>Load F</t>
    </r>
    <r>
      <rPr>
        <vertAlign val="subscript"/>
        <sz val="10"/>
        <rFont val="Arial"/>
        <family val="2"/>
      </rPr>
      <t>y</t>
    </r>
    <r>
      <rPr>
        <sz val="10"/>
        <rFont val="Arial"/>
        <family val="2"/>
      </rPr>
      <t xml:space="preserve"> (lb)</t>
    </r>
  </si>
  <si>
    <r>
      <t>Load F</t>
    </r>
    <r>
      <rPr>
        <vertAlign val="subscript"/>
        <sz val="10"/>
        <rFont val="Arial"/>
        <family val="2"/>
      </rPr>
      <t>Y</t>
    </r>
    <r>
      <rPr>
        <sz val="10"/>
        <rFont val="Arial"/>
        <family val="2"/>
      </rPr>
      <t xml:space="preserve"> (lb)</t>
    </r>
  </si>
  <si>
    <t>Number of Anchor Bolts =</t>
  </si>
  <si>
    <t>Diameter of Anchor Bolts =</t>
  </si>
  <si>
    <t>Anchor Bolt Circle =</t>
  </si>
  <si>
    <t>Cut-out</t>
  </si>
  <si>
    <t>Frame</t>
  </si>
  <si>
    <t>Properties at Handhole:</t>
  </si>
  <si>
    <r>
      <t>Ad</t>
    </r>
    <r>
      <rPr>
        <b/>
        <vertAlign val="superscript"/>
        <sz val="10"/>
        <rFont val="Arial"/>
        <family val="2"/>
      </rPr>
      <t>2</t>
    </r>
  </si>
  <si>
    <t>: Ice Load (psf)</t>
  </si>
  <si>
    <t>: AASHTO Wind Speed  (mph)</t>
  </si>
  <si>
    <t>: Luminaire (Y/N)</t>
  </si>
  <si>
    <t>Check Deflection Limitations for Luminaire</t>
  </si>
  <si>
    <t>Total deflection at the luminaire =</t>
  </si>
  <si>
    <t>Allowable deflection at luminaire (15% of height) =</t>
  </si>
  <si>
    <t>Deflection/Rotation</t>
  </si>
  <si>
    <t>Stress at Base Plate</t>
  </si>
  <si>
    <t>Deflection @ Luminaire (in)</t>
  </si>
  <si>
    <r>
      <t>Anchor Bolt Material Yield Strength , F</t>
    </r>
    <r>
      <rPr>
        <vertAlign val="subscript"/>
        <sz val="10"/>
        <rFont val="Arial"/>
        <family val="2"/>
      </rPr>
      <t>y</t>
    </r>
    <r>
      <rPr>
        <sz val="10"/>
        <rFont val="Arial"/>
        <family val="2"/>
      </rPr>
      <t xml:space="preserve"> =</t>
    </r>
  </si>
  <si>
    <t>Post Diameter =</t>
  </si>
  <si>
    <t>Base Plate Design</t>
  </si>
  <si>
    <t>Anchor Bolt Design Table</t>
  </si>
  <si>
    <t>Quantity</t>
  </si>
  <si>
    <t>Bolt Circle (in)</t>
  </si>
  <si>
    <t>Hole                (in)</t>
  </si>
  <si>
    <t>Shaft or Column Connection Diameter</t>
  </si>
  <si>
    <t>Minimum Thickness =</t>
  </si>
  <si>
    <t>Base Plate Geometry &amp; Properties:</t>
  </si>
  <si>
    <t>Design Loads</t>
  </si>
  <si>
    <t>-Design loads from post design</t>
  </si>
  <si>
    <t>Shear        (lb)</t>
  </si>
  <si>
    <t>Moment         (lb-ft)</t>
  </si>
  <si>
    <t>Anchor Bolt Design</t>
  </si>
  <si>
    <t>Nominal Bolt                Diameter (in)</t>
  </si>
  <si>
    <r>
      <t>Tensile Stress Area (in</t>
    </r>
    <r>
      <rPr>
        <b/>
        <vertAlign val="superscript"/>
        <sz val="10"/>
        <rFont val="Arial"/>
        <family val="2"/>
      </rPr>
      <t>2</t>
    </r>
    <r>
      <rPr>
        <b/>
        <sz val="10"/>
        <rFont val="Arial"/>
        <family val="2"/>
      </rPr>
      <t>)</t>
    </r>
  </si>
  <si>
    <t>Threads/inch</t>
  </si>
  <si>
    <t>CHECK BOLT TENSION</t>
  </si>
  <si>
    <t>CHECK BOLT SHEAR</t>
  </si>
  <si>
    <t>CHECK COMBINED STRESSES</t>
  </si>
  <si>
    <t>Nut Diameter (in)</t>
  </si>
  <si>
    <t>Heavy Hex Nut Dia. =</t>
  </si>
  <si>
    <t>Anchor Bolt/Post Clearance</t>
  </si>
  <si>
    <t>Anchor Bolt Circle Diameter =</t>
  </si>
  <si>
    <t>Clearance =</t>
  </si>
  <si>
    <t>Minimum Clearance =</t>
  </si>
  <si>
    <t>Note:</t>
  </si>
  <si>
    <t>Base Plate Minimium Thickness (in)</t>
  </si>
  <si>
    <t>Anchor Bolt Tension (psi)</t>
  </si>
  <si>
    <t>Anchor Bolt Shear (psi)</t>
  </si>
  <si>
    <t>MEMBER COORDINATES</t>
  </si>
  <si>
    <t>E70 Electrodes are assumed for all welds.</t>
  </si>
  <si>
    <t>Notes</t>
  </si>
  <si>
    <t>Compact Section</t>
  </si>
  <si>
    <r>
      <t>Post F</t>
    </r>
    <r>
      <rPr>
        <b/>
        <vertAlign val="subscript"/>
        <sz val="10"/>
        <rFont val="Arial"/>
        <family val="2"/>
      </rPr>
      <t>y</t>
    </r>
    <r>
      <rPr>
        <b/>
        <sz val="10"/>
        <rFont val="Arial"/>
        <family val="2"/>
      </rPr>
      <t xml:space="preserve"> (ksi)</t>
    </r>
  </si>
  <si>
    <t>Cross-sectional shape of mast arm</t>
  </si>
  <si>
    <r>
      <t>Overall width, W</t>
    </r>
    <r>
      <rPr>
        <vertAlign val="subscript"/>
        <sz val="10"/>
        <rFont val="Arial"/>
        <family val="2"/>
      </rPr>
      <t>1</t>
    </r>
    <r>
      <rPr>
        <sz val="10"/>
        <rFont val="Arial"/>
        <family val="2"/>
      </rPr>
      <t xml:space="preserve"> =</t>
    </r>
  </si>
  <si>
    <r>
      <t>Frame Width, W</t>
    </r>
    <r>
      <rPr>
        <vertAlign val="subscript"/>
        <sz val="10"/>
        <rFont val="Arial"/>
        <family val="2"/>
      </rPr>
      <t>2</t>
    </r>
    <r>
      <rPr>
        <sz val="10"/>
        <rFont val="Arial"/>
        <family val="2"/>
      </rPr>
      <t xml:space="preserve"> =</t>
    </r>
  </si>
  <si>
    <t>Frame Thickness, t =</t>
  </si>
  <si>
    <t>in (assumed corner radius)</t>
  </si>
  <si>
    <t>in (diameter, or depth of square member)</t>
  </si>
  <si>
    <t>Ratio of corner radius to radius of inscribed circle</t>
  </si>
  <si>
    <t>Ratio of corner radius to depth of square member</t>
  </si>
  <si>
    <t>: Base Plate Thickness (in)</t>
  </si>
  <si>
    <r>
      <t>0.00256(1.3V</t>
    </r>
    <r>
      <rPr>
        <vertAlign val="subscript"/>
        <sz val="10"/>
        <rFont val="Arial"/>
        <family val="2"/>
      </rPr>
      <t>fm</t>
    </r>
    <r>
      <rPr>
        <sz val="10"/>
        <rFont val="Arial"/>
        <family val="2"/>
      </rPr>
      <t>)</t>
    </r>
    <r>
      <rPr>
        <vertAlign val="superscript"/>
        <sz val="10"/>
        <rFont val="Arial"/>
        <family val="2"/>
      </rPr>
      <t>2</t>
    </r>
    <r>
      <rPr>
        <sz val="10"/>
        <rFont val="Arial"/>
        <family val="2"/>
      </rPr>
      <t>C</t>
    </r>
    <r>
      <rPr>
        <vertAlign val="subscript"/>
        <sz val="10"/>
        <rFont val="Arial"/>
        <family val="2"/>
      </rPr>
      <t>d</t>
    </r>
    <r>
      <rPr>
        <sz val="10"/>
        <rFont val="Arial"/>
        <family val="2"/>
      </rPr>
      <t>C</t>
    </r>
    <r>
      <rPr>
        <vertAlign val="subscript"/>
        <sz val="10"/>
        <rFont val="Arial"/>
        <family val="2"/>
      </rPr>
      <t xml:space="preserve">h </t>
    </r>
    <r>
      <rPr>
        <sz val="10"/>
        <rFont val="Arial"/>
        <family val="2"/>
      </rPr>
      <t xml:space="preserve"> (AASHTO Appendix C.3)</t>
    </r>
  </si>
  <si>
    <t>Luminaire Mast Arm Length =</t>
  </si>
  <si>
    <t>AREA OF LUMINAIRE ARM ASSUMED</t>
  </si>
  <si>
    <r>
      <t>All assumed mounted to maximize F</t>
    </r>
    <r>
      <rPr>
        <vertAlign val="subscript"/>
        <sz val="10"/>
        <rFont val="Arial"/>
        <family val="2"/>
      </rPr>
      <t>Z</t>
    </r>
  </si>
  <si>
    <r>
      <t>F</t>
    </r>
    <r>
      <rPr>
        <b/>
        <vertAlign val="subscript"/>
        <sz val="10"/>
        <rFont val="Arial"/>
        <family val="2"/>
      </rPr>
      <t xml:space="preserve">z                           </t>
    </r>
    <r>
      <rPr>
        <b/>
        <sz val="10"/>
        <rFont val="Arial"/>
        <family val="2"/>
      </rPr>
      <t>(lb)</t>
    </r>
  </si>
  <si>
    <t>Max Bending Stress</t>
  </si>
  <si>
    <t>Max shear stress due to transverse loads</t>
  </si>
  <si>
    <t>Axial stress</t>
  </si>
  <si>
    <r>
      <t>f</t>
    </r>
    <r>
      <rPr>
        <b/>
        <vertAlign val="subscript"/>
        <sz val="10"/>
        <rFont val="Arial"/>
        <family val="2"/>
      </rPr>
      <t>x</t>
    </r>
    <r>
      <rPr>
        <b/>
        <sz val="10"/>
        <rFont val="Arial"/>
        <family val="2"/>
      </rPr>
      <t xml:space="preserve"> =</t>
    </r>
  </si>
  <si>
    <r>
      <t>f</t>
    </r>
    <r>
      <rPr>
        <b/>
        <vertAlign val="subscript"/>
        <sz val="10"/>
        <rFont val="Arial"/>
        <family val="2"/>
      </rPr>
      <t>z</t>
    </r>
    <r>
      <rPr>
        <b/>
        <sz val="10"/>
        <rFont val="Arial"/>
        <family val="2"/>
      </rPr>
      <t xml:space="preserve"> =</t>
    </r>
  </si>
  <si>
    <r>
      <t>f</t>
    </r>
    <r>
      <rPr>
        <b/>
        <vertAlign val="subscript"/>
        <sz val="10"/>
        <rFont val="Arial"/>
        <family val="2"/>
      </rPr>
      <t>b</t>
    </r>
    <r>
      <rPr>
        <b/>
        <sz val="10"/>
        <rFont val="Arial"/>
        <family val="2"/>
      </rPr>
      <t xml:space="preserve"> =</t>
    </r>
  </si>
  <si>
    <r>
      <t>f</t>
    </r>
    <r>
      <rPr>
        <b/>
        <vertAlign val="subscript"/>
        <sz val="10"/>
        <rFont val="Arial"/>
        <family val="2"/>
      </rPr>
      <t>vb</t>
    </r>
    <r>
      <rPr>
        <b/>
        <sz val="10"/>
        <rFont val="Arial"/>
        <family val="2"/>
      </rPr>
      <t xml:space="preserve"> =</t>
    </r>
  </si>
  <si>
    <r>
      <t>f</t>
    </r>
    <r>
      <rPr>
        <b/>
        <vertAlign val="subscript"/>
        <sz val="10"/>
        <rFont val="Arial"/>
        <family val="2"/>
      </rPr>
      <t xml:space="preserve">vt </t>
    </r>
    <r>
      <rPr>
        <b/>
        <sz val="10"/>
        <rFont val="Arial"/>
        <family val="2"/>
      </rPr>
      <t>=</t>
    </r>
  </si>
  <si>
    <r>
      <t>f</t>
    </r>
    <r>
      <rPr>
        <b/>
        <vertAlign val="subscript"/>
        <sz val="10"/>
        <rFont val="Arial"/>
        <family val="2"/>
      </rPr>
      <t>v</t>
    </r>
    <r>
      <rPr>
        <b/>
        <sz val="10"/>
        <rFont val="Arial"/>
        <family val="2"/>
      </rPr>
      <t xml:space="preserve"> =</t>
    </r>
  </si>
  <si>
    <r>
      <t>f</t>
    </r>
    <r>
      <rPr>
        <b/>
        <vertAlign val="subscript"/>
        <sz val="10"/>
        <rFont val="Arial"/>
        <family val="2"/>
      </rPr>
      <t>a</t>
    </r>
    <r>
      <rPr>
        <b/>
        <sz val="10"/>
        <rFont val="Arial"/>
        <family val="2"/>
      </rPr>
      <t xml:space="preserve"> =</t>
    </r>
  </si>
  <si>
    <r>
      <t>f</t>
    </r>
    <r>
      <rPr>
        <vertAlign val="subscript"/>
        <sz val="10"/>
        <rFont val="Arial"/>
        <family val="2"/>
      </rPr>
      <t>vb</t>
    </r>
    <r>
      <rPr>
        <sz val="10"/>
        <rFont val="Arial"/>
        <family val="2"/>
      </rPr>
      <t xml:space="preserve"> + f</t>
    </r>
    <r>
      <rPr>
        <vertAlign val="subscript"/>
        <sz val="10"/>
        <rFont val="Arial"/>
        <family val="2"/>
      </rPr>
      <t>vt</t>
    </r>
  </si>
  <si>
    <r>
      <t>Bending Stress due to M</t>
    </r>
    <r>
      <rPr>
        <vertAlign val="subscript"/>
        <sz val="10"/>
        <rFont val="Arial"/>
        <family val="2"/>
      </rPr>
      <t>x</t>
    </r>
  </si>
  <si>
    <r>
      <t>Bending Stress due to M</t>
    </r>
    <r>
      <rPr>
        <vertAlign val="subscript"/>
        <sz val="10"/>
        <rFont val="Arial"/>
        <family val="2"/>
      </rPr>
      <t>z</t>
    </r>
  </si>
  <si>
    <t>AASHTO 5.11.1 &amp; 5.11.2</t>
  </si>
  <si>
    <t>Check Allowable Axial Compression</t>
  </si>
  <si>
    <t>AASHTO 5.10 &amp; App. B</t>
  </si>
  <si>
    <t>Luminaire Mast Arm</t>
  </si>
  <si>
    <t>This spreadsheet cannot:</t>
  </si>
  <si>
    <t>Limitations:</t>
  </si>
  <si>
    <t>General:</t>
  </si>
  <si>
    <t>Assumptions &amp; Method of Solution:</t>
  </si>
  <si>
    <t>- Analyze slip jointed members</t>
  </si>
  <si>
    <t>Only round base plates with 6 anchor bolts may be analyzed.</t>
  </si>
  <si>
    <t>Fatigue:</t>
  </si>
  <si>
    <t>Luminaire:</t>
  </si>
  <si>
    <t>Luminaire Arm:</t>
  </si>
  <si>
    <t>Wind load is applied as follows:</t>
  </si>
  <si>
    <t>Positioning of hand-hole with respect to the bending moments in the post is not considered. Worst case loads are applied for hand-hole stresses and code checks.</t>
  </si>
  <si>
    <t>Miscellaneous Attachments:</t>
  </si>
  <si>
    <t>Vertical load eccentricity of miscellaneous attachments is neglected.</t>
  </si>
  <si>
    <t>Signal Q = 1.2</t>
  </si>
  <si>
    <t>Sign V = 1.19</t>
  </si>
  <si>
    <t>Control box = 1.25</t>
  </si>
  <si>
    <r>
      <t>Coefficients of drag (C</t>
    </r>
    <r>
      <rPr>
        <vertAlign val="subscript"/>
        <sz val="12"/>
        <rFont val="Arial"/>
        <family val="2"/>
      </rPr>
      <t>d</t>
    </r>
    <r>
      <rPr>
        <sz val="12"/>
        <rFont val="Arial"/>
        <family val="2"/>
      </rPr>
      <t>):</t>
    </r>
  </si>
  <si>
    <r>
      <t>Coefficient of height (C</t>
    </r>
    <r>
      <rPr>
        <vertAlign val="subscript"/>
        <sz val="12"/>
        <rFont val="Arial"/>
        <family val="2"/>
      </rPr>
      <t>h</t>
    </r>
    <r>
      <rPr>
        <sz val="12"/>
        <rFont val="Arial"/>
        <family val="2"/>
      </rPr>
      <t>) = 0.80</t>
    </r>
  </si>
  <si>
    <t xml:space="preserve">The design wind pressure is assumed to be larger than 25 psf for Group III wind loads. </t>
  </si>
  <si>
    <t>12-sided members are assumed to have a ratio of corner radius to distance between parallel faces equal to or greater than 0.125.</t>
  </si>
  <si>
    <t xml:space="preserve">The base plate and anchor bolts are checked for allowable stresses. A warning is printed if the dimensions do not equal those as defined by the TC standards. The warning is only for information and is not an indication of overstress.  </t>
  </si>
  <si>
    <t>Deflection Checks are only valid for tapered posts.</t>
  </si>
  <si>
    <t>A36</t>
  </si>
  <si>
    <t>A709, Gr. 36</t>
  </si>
  <si>
    <t>A709, Gr. 50</t>
  </si>
  <si>
    <t>A53, Gr. B</t>
  </si>
  <si>
    <t>A572, Gr. 50</t>
  </si>
  <si>
    <t>A500, Gr. A</t>
  </si>
  <si>
    <t>A500, Gr. B</t>
  </si>
  <si>
    <t>A500, Gr. C</t>
  </si>
  <si>
    <t>A501, Gr. A</t>
  </si>
  <si>
    <t>A595, Gr. A</t>
  </si>
  <si>
    <t>F1554, Gr. 55</t>
  </si>
  <si>
    <r>
      <t>(a + sin a cos a-2sin</t>
    </r>
    <r>
      <rPr>
        <vertAlign val="superscript"/>
        <sz val="10"/>
        <rFont val="Arial"/>
        <family val="2"/>
      </rPr>
      <t>2</t>
    </r>
    <r>
      <rPr>
        <sz val="10"/>
        <rFont val="Arial"/>
        <family val="2"/>
      </rPr>
      <t>a/a)</t>
    </r>
  </si>
  <si>
    <r>
      <t>[1-3t/2R+t2/R</t>
    </r>
    <r>
      <rPr>
        <vertAlign val="superscript"/>
        <sz val="10"/>
        <rFont val="Arial"/>
        <family val="2"/>
      </rPr>
      <t>2</t>
    </r>
    <r>
      <rPr>
        <sz val="10"/>
        <rFont val="Arial"/>
        <family val="2"/>
      </rPr>
      <t>-t</t>
    </r>
    <r>
      <rPr>
        <vertAlign val="superscript"/>
        <sz val="10"/>
        <rFont val="Arial"/>
        <family val="2"/>
      </rPr>
      <t>3</t>
    </r>
    <r>
      <rPr>
        <sz val="10"/>
        <rFont val="Arial"/>
        <family val="2"/>
      </rPr>
      <t>/4R</t>
    </r>
    <r>
      <rPr>
        <vertAlign val="superscript"/>
        <sz val="10"/>
        <rFont val="Arial"/>
        <family val="2"/>
      </rPr>
      <t>3</t>
    </r>
    <r>
      <rPr>
        <sz val="10"/>
        <rFont val="Arial"/>
        <family val="2"/>
      </rPr>
      <t>)</t>
    </r>
    <r>
      <rPr>
        <sz val="10"/>
        <rFont val="Arial"/>
        <family val="2"/>
      </rPr>
      <t>]</t>
    </r>
  </si>
  <si>
    <t>A =</t>
  </si>
  <si>
    <t>A = at(2R-t)</t>
  </si>
  <si>
    <t>y=R-y1a</t>
  </si>
  <si>
    <t>y1a = R[1 - (2 sin a)/(3a)(1-t/R+1/(2-t/R))]</t>
  </si>
  <si>
    <t>Roark's Formulas for Stress &amp; Strain, Table 1, Case 20</t>
  </si>
  <si>
    <t>Max. shear stress due to torsion</t>
  </si>
  <si>
    <r>
      <t>f</t>
    </r>
    <r>
      <rPr>
        <vertAlign val="subscript"/>
        <sz val="10"/>
        <rFont val="Arial"/>
        <family val="2"/>
      </rPr>
      <t>a</t>
    </r>
    <r>
      <rPr>
        <sz val="10"/>
        <rFont val="Arial"/>
        <family val="2"/>
      </rPr>
      <t>/(0.6 · F</t>
    </r>
    <r>
      <rPr>
        <vertAlign val="subscript"/>
        <sz val="10"/>
        <rFont val="Arial"/>
        <family val="2"/>
      </rPr>
      <t>y</t>
    </r>
    <r>
      <rPr>
        <sz val="10"/>
        <rFont val="Arial"/>
        <family val="2"/>
      </rPr>
      <t>) +f</t>
    </r>
    <r>
      <rPr>
        <vertAlign val="subscript"/>
        <sz val="10"/>
        <rFont val="Arial"/>
        <family val="2"/>
      </rPr>
      <t>b</t>
    </r>
    <r>
      <rPr>
        <sz val="10"/>
        <rFont val="Arial"/>
        <family val="2"/>
      </rPr>
      <t>/C</t>
    </r>
    <r>
      <rPr>
        <vertAlign val="subscript"/>
        <sz val="10"/>
        <rFont val="Arial"/>
        <family val="2"/>
      </rPr>
      <t>A</t>
    </r>
    <r>
      <rPr>
        <sz val="10"/>
        <rFont val="Arial"/>
        <family val="2"/>
      </rPr>
      <t>F</t>
    </r>
    <r>
      <rPr>
        <vertAlign val="subscript"/>
        <sz val="10"/>
        <rFont val="Arial"/>
        <family val="2"/>
      </rPr>
      <t>b</t>
    </r>
    <r>
      <rPr>
        <sz val="10"/>
        <rFont val="Arial"/>
        <family val="2"/>
      </rPr>
      <t>+(f</t>
    </r>
    <r>
      <rPr>
        <vertAlign val="subscript"/>
        <sz val="10"/>
        <rFont val="Arial"/>
        <family val="2"/>
      </rPr>
      <t>v</t>
    </r>
    <r>
      <rPr>
        <sz val="10"/>
        <rFont val="Arial"/>
        <family val="2"/>
      </rPr>
      <t>/F</t>
    </r>
    <r>
      <rPr>
        <vertAlign val="subscript"/>
        <sz val="10"/>
        <rFont val="Arial"/>
        <family val="2"/>
      </rPr>
      <t>v</t>
    </r>
    <r>
      <rPr>
        <sz val="10"/>
        <rFont val="Arial"/>
        <family val="2"/>
      </rPr>
      <t>)</t>
    </r>
    <r>
      <rPr>
        <vertAlign val="superscript"/>
        <sz val="10"/>
        <rFont val="Arial"/>
        <family val="2"/>
      </rPr>
      <t>2</t>
    </r>
  </si>
  <si>
    <t xml:space="preserve">Washer Diameter = </t>
  </si>
  <si>
    <t>in (2 x Bolt Dia)</t>
  </si>
  <si>
    <t>in (Bolt Dia + 1/4")</t>
  </si>
  <si>
    <t>Area Constant/Torsion Stress Constant</t>
  </si>
  <si>
    <t>Bolt Dia + 1/4"</t>
  </si>
  <si>
    <t>Section at Handhole</t>
  </si>
  <si>
    <r>
      <t xml:space="preserve">(Value is neglected if material is </t>
    </r>
    <r>
      <rPr>
        <b/>
        <u/>
        <sz val="10"/>
        <rFont val="Arial"/>
        <family val="2"/>
      </rPr>
      <t>not</t>
    </r>
    <r>
      <rPr>
        <sz val="10"/>
        <rFont val="Arial"/>
        <family val="2"/>
      </rPr>
      <t xml:space="preserve"> defined as "Other")</t>
    </r>
  </si>
  <si>
    <t>Number of Sides (Section must be round or have at least 8 sides)</t>
  </si>
  <si>
    <t>Taper  (Multi-sided sections must be tapered)</t>
  </si>
  <si>
    <r>
      <t>If "Other":  Enter F</t>
    </r>
    <r>
      <rPr>
        <vertAlign val="subscript"/>
        <sz val="10"/>
        <rFont val="Arial"/>
        <family val="2"/>
      </rPr>
      <t>y</t>
    </r>
    <r>
      <rPr>
        <sz val="10"/>
        <rFont val="Arial"/>
        <family val="2"/>
      </rPr>
      <t xml:space="preserve"> here:</t>
    </r>
  </si>
  <si>
    <r>
      <t>F</t>
    </r>
    <r>
      <rPr>
        <b/>
        <vertAlign val="subscript"/>
        <sz val="10"/>
        <rFont val="Arial"/>
        <family val="2"/>
      </rPr>
      <t>u</t>
    </r>
    <r>
      <rPr>
        <b/>
        <sz val="10"/>
        <rFont val="Arial"/>
        <family val="2"/>
      </rPr>
      <t xml:space="preserve"> (ksi)</t>
    </r>
  </si>
  <si>
    <r>
      <t>F</t>
    </r>
    <r>
      <rPr>
        <vertAlign val="subscript"/>
        <sz val="10"/>
        <rFont val="Arial"/>
        <family val="2"/>
      </rPr>
      <t>u</t>
    </r>
    <r>
      <rPr>
        <sz val="10"/>
        <rFont val="Arial"/>
        <family val="2"/>
      </rPr>
      <t xml:space="preserve"> =</t>
    </r>
  </si>
  <si>
    <t>ANCHOR BOLT/POST CLEARANCE</t>
  </si>
  <si>
    <t>MINIUMUM BASE PLATE SIZE</t>
  </si>
  <si>
    <t>Base Plate Outside Diameter =</t>
  </si>
  <si>
    <t>Minimum Edge Distance:</t>
  </si>
  <si>
    <r>
      <t>V</t>
    </r>
    <r>
      <rPr>
        <vertAlign val="subscript"/>
        <sz val="10"/>
        <rFont val="Arial"/>
        <family val="2"/>
      </rPr>
      <t>Bolt</t>
    </r>
    <r>
      <rPr>
        <sz val="10"/>
        <rFont val="Arial"/>
        <family val="2"/>
      </rPr>
      <t xml:space="preserve"> =</t>
    </r>
  </si>
  <si>
    <r>
      <t>Edge Distance, L</t>
    </r>
    <r>
      <rPr>
        <vertAlign val="subscript"/>
        <sz val="10"/>
        <rFont val="Arial"/>
        <family val="2"/>
      </rPr>
      <t>e</t>
    </r>
    <r>
      <rPr>
        <sz val="10"/>
        <rFont val="Arial"/>
        <family val="2"/>
      </rPr>
      <t xml:space="preserve"> =</t>
    </r>
  </si>
  <si>
    <r>
      <t>(2 · V</t>
    </r>
    <r>
      <rPr>
        <vertAlign val="subscript"/>
        <sz val="10"/>
        <rFont val="Arial"/>
        <family val="2"/>
      </rPr>
      <t>Bolt</t>
    </r>
    <r>
      <rPr>
        <sz val="10"/>
        <rFont val="Arial"/>
        <family val="2"/>
      </rPr>
      <t>) ÷ (F</t>
    </r>
    <r>
      <rPr>
        <vertAlign val="subscript"/>
        <sz val="10"/>
        <rFont val="Arial"/>
        <family val="2"/>
      </rPr>
      <t>u</t>
    </r>
    <r>
      <rPr>
        <sz val="10"/>
        <rFont val="Arial"/>
        <family val="2"/>
      </rPr>
      <t xml:space="preserve"> · t)</t>
    </r>
  </si>
  <si>
    <r>
      <t>Enter F</t>
    </r>
    <r>
      <rPr>
        <vertAlign val="subscript"/>
        <sz val="10"/>
        <rFont val="Arial"/>
        <family val="2"/>
      </rPr>
      <t>u</t>
    </r>
    <r>
      <rPr>
        <sz val="10"/>
        <rFont val="Arial"/>
        <family val="2"/>
      </rPr>
      <t xml:space="preserve"> here:</t>
    </r>
  </si>
  <si>
    <t>Min. Edge Distance for Washer =</t>
  </si>
  <si>
    <t>in (Washer Dia ÷ 2 +1/4")</t>
  </si>
  <si>
    <t>Controlling Edge Distance =</t>
  </si>
  <si>
    <t>Provided Edge Distance =</t>
  </si>
  <si>
    <t>&lt; 19"</t>
  </si>
  <si>
    <t>Base Plate Edge Distance</t>
  </si>
  <si>
    <t xml:space="preserve">Minimum </t>
  </si>
  <si>
    <t>Allowable Per TC-8801</t>
  </si>
  <si>
    <t>Check assumes washer diameter is 2 · Bolt Diameter with 1/4" clear for post to base weld.</t>
  </si>
  <si>
    <t>18" x 18"</t>
  </si>
  <si>
    <t>24" x 18"</t>
  </si>
  <si>
    <t>24" x 24"</t>
  </si>
  <si>
    <t>24" x 30"</t>
  </si>
  <si>
    <t>30" x 30"</t>
  </si>
  <si>
    <t>36" x 24"</t>
  </si>
  <si>
    <t>36" x 30"</t>
  </si>
  <si>
    <t>36" x 36"</t>
  </si>
  <si>
    <t>48" x 8"</t>
  </si>
  <si>
    <t>48" x 16"</t>
  </si>
  <si>
    <t>48" x 36"</t>
  </si>
  <si>
    <t>48" x 48"</t>
  </si>
  <si>
    <t>72" x 12"</t>
  </si>
  <si>
    <t>72" x 24"</t>
  </si>
  <si>
    <t>Notes:</t>
  </si>
  <si>
    <t>Wind Load Data:</t>
  </si>
  <si>
    <r>
      <t>Wind Velocity, V</t>
    </r>
    <r>
      <rPr>
        <vertAlign val="subscript"/>
        <sz val="10"/>
        <rFont val="Arial"/>
        <family val="2"/>
      </rPr>
      <t>fm</t>
    </r>
    <r>
      <rPr>
        <sz val="10"/>
        <rFont val="Arial"/>
        <family val="2"/>
      </rPr>
      <t>, =</t>
    </r>
  </si>
  <si>
    <r>
      <t>Coefficient of Height, C</t>
    </r>
    <r>
      <rPr>
        <vertAlign val="subscript"/>
        <sz val="10"/>
        <rFont val="Arial"/>
        <family val="2"/>
      </rPr>
      <t>h</t>
    </r>
    <r>
      <rPr>
        <sz val="10"/>
        <rFont val="Arial"/>
        <family val="2"/>
      </rPr>
      <t xml:space="preserve"> =</t>
    </r>
  </si>
  <si>
    <r>
      <t>Wind Pressure, P</t>
    </r>
    <r>
      <rPr>
        <vertAlign val="subscript"/>
        <sz val="10"/>
        <rFont val="Arial"/>
        <family val="2"/>
      </rPr>
      <t>z</t>
    </r>
    <r>
      <rPr>
        <sz val="10"/>
        <rFont val="Arial"/>
        <family val="2"/>
      </rPr>
      <t xml:space="preserve"> =</t>
    </r>
  </si>
  <si>
    <r>
      <t xml:space="preserve"> 0.00256 · (1.3 · V</t>
    </r>
    <r>
      <rPr>
        <vertAlign val="subscript"/>
        <sz val="10"/>
        <rFont val="Arial"/>
        <family val="2"/>
      </rPr>
      <t>fm</t>
    </r>
    <r>
      <rPr>
        <sz val="10"/>
        <rFont val="Arial"/>
        <family val="2"/>
      </rPr>
      <t>)</t>
    </r>
    <r>
      <rPr>
        <vertAlign val="superscript"/>
        <sz val="10"/>
        <rFont val="Arial"/>
        <family val="2"/>
      </rPr>
      <t>2</t>
    </r>
    <r>
      <rPr>
        <sz val="10"/>
        <rFont val="Arial"/>
        <family val="2"/>
      </rPr>
      <t xml:space="preserve"> · C</t>
    </r>
    <r>
      <rPr>
        <vertAlign val="subscript"/>
        <sz val="10"/>
        <rFont val="Arial"/>
        <family val="2"/>
      </rPr>
      <t>d</t>
    </r>
    <r>
      <rPr>
        <sz val="10"/>
        <rFont val="Arial"/>
        <family val="2"/>
      </rPr>
      <t xml:space="preserve"> · C</t>
    </r>
    <r>
      <rPr>
        <vertAlign val="subscript"/>
        <sz val="10"/>
        <rFont val="Arial"/>
        <family val="2"/>
      </rPr>
      <t>h</t>
    </r>
  </si>
  <si>
    <t xml:space="preserve">Wind Load, WL = </t>
  </si>
  <si>
    <r>
      <t>P</t>
    </r>
    <r>
      <rPr>
        <vertAlign val="subscript"/>
        <sz val="10"/>
        <rFont val="Arial"/>
        <family val="2"/>
      </rPr>
      <t>z</t>
    </r>
    <r>
      <rPr>
        <sz val="10"/>
        <rFont val="Arial"/>
        <family val="2"/>
      </rPr>
      <t xml:space="preserve"> · Surface Area </t>
    </r>
  </si>
  <si>
    <t>(A Tbl C-1, Assumes all components are between 14 and 29 feet above the ground)</t>
  </si>
  <si>
    <t>AASHTO Appendix C.3</t>
  </si>
  <si>
    <t>Ice Load Data:</t>
  </si>
  <si>
    <t>Ice Load =</t>
  </si>
  <si>
    <r>
      <t>lbs/ft</t>
    </r>
    <r>
      <rPr>
        <vertAlign val="superscript"/>
        <sz val="10"/>
        <rFont val="Arial"/>
        <family val="2"/>
      </rPr>
      <t>2</t>
    </r>
  </si>
  <si>
    <t>AASHTO Article 3.7</t>
  </si>
  <si>
    <r>
      <t>Wind Drag Coefficient, C</t>
    </r>
    <r>
      <rPr>
        <b/>
        <vertAlign val="subscript"/>
        <sz val="10"/>
        <rFont val="Arial"/>
        <family val="2"/>
      </rPr>
      <t>d</t>
    </r>
    <r>
      <rPr>
        <b/>
        <sz val="10"/>
        <rFont val="Arial"/>
        <family val="2"/>
      </rPr>
      <t xml:space="preserve"> (A Tbl C-2)</t>
    </r>
  </si>
  <si>
    <r>
      <t>Wind Pressure, P</t>
    </r>
    <r>
      <rPr>
        <b/>
        <vertAlign val="subscript"/>
        <sz val="10"/>
        <rFont val="Arial"/>
        <family val="2"/>
      </rPr>
      <t>z</t>
    </r>
    <r>
      <rPr>
        <b/>
        <sz val="10"/>
        <rFont val="Arial"/>
        <family val="2"/>
      </rPr>
      <t xml:space="preserve"> (psf)</t>
    </r>
  </si>
  <si>
    <t>Wind Load, WL (lbs)</t>
  </si>
  <si>
    <t>Ice Load (lbs)</t>
  </si>
  <si>
    <t>Fatigue (Natural Wind)</t>
  </si>
  <si>
    <t>IF =</t>
  </si>
  <si>
    <r>
      <t>P</t>
    </r>
    <r>
      <rPr>
        <vertAlign val="subscript"/>
        <sz val="10"/>
        <rFont val="Arial"/>
        <family val="2"/>
      </rPr>
      <t>NW</t>
    </r>
    <r>
      <rPr>
        <sz val="10"/>
        <rFont val="Arial"/>
        <family val="2"/>
      </rPr>
      <t xml:space="preserve"> =</t>
    </r>
  </si>
  <si>
    <t>Fatigue Load (lbs)</t>
  </si>
  <si>
    <r>
      <t>P</t>
    </r>
    <r>
      <rPr>
        <b/>
        <vertAlign val="subscript"/>
        <sz val="10"/>
        <rFont val="Arial"/>
        <family val="2"/>
      </rPr>
      <t>NW</t>
    </r>
    <r>
      <rPr>
        <b/>
        <sz val="10"/>
        <rFont val="Arial"/>
        <family val="2"/>
      </rPr>
      <t xml:space="preserve"> (psf)</t>
    </r>
  </si>
  <si>
    <r>
      <t>Group III Wind Pressure, P</t>
    </r>
    <r>
      <rPr>
        <b/>
        <vertAlign val="subscript"/>
        <sz val="10"/>
        <rFont val="Arial"/>
        <family val="2"/>
      </rPr>
      <t>Z III</t>
    </r>
  </si>
  <si>
    <r>
      <t>Group III Wind Load, WL</t>
    </r>
    <r>
      <rPr>
        <b/>
        <vertAlign val="subscript"/>
        <sz val="10"/>
        <rFont val="Arial"/>
        <family val="2"/>
      </rPr>
      <t>III</t>
    </r>
  </si>
  <si>
    <r>
      <t>5.2 · I</t>
    </r>
    <r>
      <rPr>
        <vertAlign val="subscript"/>
        <sz val="10"/>
        <rFont val="Arial"/>
        <family val="2"/>
      </rPr>
      <t>F</t>
    </r>
    <r>
      <rPr>
        <sz val="10"/>
        <rFont val="Arial"/>
        <family val="2"/>
      </rPr>
      <t xml:space="preserve"> · C</t>
    </r>
    <r>
      <rPr>
        <vertAlign val="subscript"/>
        <sz val="10"/>
        <rFont val="Arial"/>
        <family val="2"/>
      </rPr>
      <t>d</t>
    </r>
  </si>
  <si>
    <t>- Analyze a mast arm post and span-wire combination</t>
  </si>
  <si>
    <t>Variation between fabricators was assumed to have minimal impact on post designs. Luminaire arm parameters are assumed as follows.</t>
  </si>
  <si>
    <t>The analysis is in accordance with the Allowable Stress Design (ASD) method.</t>
  </si>
  <si>
    <t>- Design is in accordance with PennDOT Publications 148 and 149 and AASHTO Standard Specifications for Structural Supports for Highway Signs, Luminaries and Traffic Signals, 4th Edition with 2002, 2003 and 2006 Interims</t>
  </si>
  <si>
    <r>
      <t xml:space="preserve">Printing:
</t>
    </r>
    <r>
      <rPr>
        <sz val="11"/>
        <rFont val="Arial"/>
        <family val="2"/>
      </rPr>
      <t>Printing of input and output is performed using typical excel procedures.</t>
    </r>
  </si>
  <si>
    <t>Combined Forces Group II</t>
  </si>
  <si>
    <t>Combined Forces III</t>
  </si>
  <si>
    <t>Strain Pole Analysis</t>
  </si>
  <si>
    <t>Strain Pole Analysis - Input</t>
  </si>
  <si>
    <t>(2)   A - 3</t>
  </si>
  <si>
    <t>Signal (3)</t>
  </si>
  <si>
    <t>Post Material</t>
  </si>
  <si>
    <t>Loading Type:</t>
  </si>
  <si>
    <t>Design Tension =</t>
  </si>
  <si>
    <t>Group Loading:</t>
  </si>
  <si>
    <t>Horizontal Load (lbs)</t>
  </si>
  <si>
    <t>Vertical Load (lbs)</t>
  </si>
  <si>
    <t>Loading Type</t>
  </si>
  <si>
    <t>Design Tension</t>
  </si>
  <si>
    <t>Group Loads</t>
  </si>
  <si>
    <t>Span Wire Height =</t>
  </si>
  <si>
    <t>Hole (in)</t>
  </si>
  <si>
    <t>Strain Pole Height ≤ 24'</t>
  </si>
  <si>
    <t>24' &lt; Strain Pole Height  ≤ 30'</t>
  </si>
  <si>
    <t>30' &lt; Strain Pole Height ≤ 34'</t>
  </si>
  <si>
    <t>Nut Diamter (in)</t>
  </si>
  <si>
    <t>Anchor Bolt Diameter                      (in)</t>
  </si>
  <si>
    <t>Bolt Circle Diameter (in)</t>
  </si>
  <si>
    <t>Anchor Bolt Diameter (in)</t>
  </si>
  <si>
    <t>Ancohr Bolt Diameter (in)</t>
  </si>
  <si>
    <t>(in)</t>
  </si>
  <si>
    <t>: Applied Tension Height (ft)</t>
  </si>
  <si>
    <t>SPAN WIRE</t>
  </si>
  <si>
    <t>Design Tension:</t>
  </si>
  <si>
    <t>Loads for Design:</t>
  </si>
  <si>
    <t>Span Wire Height</t>
  </si>
  <si>
    <r>
      <t>F</t>
    </r>
    <r>
      <rPr>
        <vertAlign val="subscript"/>
        <sz val="10"/>
        <rFont val="Arial"/>
        <family val="2"/>
      </rPr>
      <t>Y</t>
    </r>
    <r>
      <rPr>
        <sz val="10"/>
        <rFont val="Arial"/>
        <family val="2"/>
      </rPr>
      <t xml:space="preserve"> (lb)</t>
    </r>
  </si>
  <si>
    <t>Total Loads (Excluding Span Wire Loads)</t>
  </si>
  <si>
    <t>Stresses at Span Wire Height</t>
  </si>
  <si>
    <t>Stresses at Post Mid-height</t>
  </si>
  <si>
    <t>(Axial load conservatively considers load at the base divided by area at Span Wire height)</t>
  </si>
  <si>
    <t>Dead Load @ Span Wire Height</t>
  </si>
  <si>
    <t>Luminaire @ Span Wire Height</t>
  </si>
  <si>
    <t>Span Wire Loads @ Spanwire Height</t>
  </si>
  <si>
    <t>Check Deflection Limitations</t>
  </si>
  <si>
    <t>Strain Pole, Maximum Stresses</t>
  </si>
  <si>
    <t>@ Span Wire Height</t>
  </si>
  <si>
    <t>@ Strain Pole Mid-height</t>
  </si>
  <si>
    <t>Strain Pole Proportion Limits and Allowable Stresses</t>
  </si>
  <si>
    <t>Strain Pole:</t>
  </si>
  <si>
    <t>Strain Pole Analysis - Output</t>
  </si>
  <si>
    <r>
      <t>Strain Pole C</t>
    </r>
    <r>
      <rPr>
        <b/>
        <vertAlign val="subscript"/>
        <sz val="10"/>
        <rFont val="Arial"/>
        <family val="2"/>
      </rPr>
      <t>d</t>
    </r>
    <r>
      <rPr>
        <b/>
        <sz val="10"/>
        <rFont val="Arial"/>
        <family val="2"/>
      </rPr>
      <t xml:space="preserve"> Table</t>
    </r>
  </si>
  <si>
    <t>STRAIN POLE DATA</t>
  </si>
  <si>
    <t>Strain Pole Diameter =</t>
  </si>
  <si>
    <t>Strain Pole Specification Checks:</t>
  </si>
  <si>
    <t>Strain Pole Load</t>
  </si>
  <si>
    <t>Strain Pole Shape:</t>
  </si>
  <si>
    <t>Summary of Strain Pole Stresses:</t>
  </si>
  <si>
    <t>Strain Pole Loads at 0FT height (base plate)</t>
  </si>
  <si>
    <t>Strain Pole Loads at 1.5 FT height (handhole)</t>
  </si>
  <si>
    <t>Strain Pole Loads at Spanwire Height</t>
  </si>
  <si>
    <t>Combine Strain Pole Design Loads:</t>
  </si>
  <si>
    <t>Strain Pole Mid-height</t>
  </si>
  <si>
    <t>Strain Pole Loads at Mid-Height of Strain Pole</t>
  </si>
  <si>
    <t>STRAIN POLE</t>
  </si>
  <si>
    <t>Strain Pole Self-weight:</t>
  </si>
  <si>
    <t>Wind on Strain Pole:</t>
  </si>
  <si>
    <t>Ice on Strain Pole:</t>
  </si>
  <si>
    <t>Strain Pole Design</t>
  </si>
  <si>
    <t>Strain Pole Geometry &amp; Properties:</t>
  </si>
  <si>
    <t>STRAIN POLE GEOMETRY</t>
  </si>
  <si>
    <t>Strain Pole Design Loads:</t>
  </si>
  <si>
    <t>Strain Pole Geometry and Material</t>
  </si>
  <si>
    <t>Strain Pole::</t>
  </si>
  <si>
    <t>Stress at Span Wire Height</t>
  </si>
  <si>
    <t>Stress at Strain Pole Mid-height</t>
  </si>
  <si>
    <t>Deflection @ Span Wire Height (inches)</t>
  </si>
  <si>
    <t>Strain Pole Height =</t>
  </si>
  <si>
    <t>Strain Pole Attachments</t>
  </si>
  <si>
    <t>- Analyze stepped strain pole members</t>
  </si>
  <si>
    <t>- Analyze more than  1 sign, 1 signal and 1 control box on a strain pole.</t>
  </si>
  <si>
    <t>- Accurately determine deflections for non-tapered strain poles.</t>
  </si>
  <si>
    <t>All signals have 12" lenses with backplate, 5 inch border.</t>
  </si>
  <si>
    <t>Strain poles are exempt from fatigue checks in accorance with AASHTO Section 11.4.</t>
  </si>
  <si>
    <t>Span Wire:</t>
  </si>
  <si>
    <t>Computation of allowable axial compression conservatively uses radius of gyration (r) at the span wire height. AASHTO 5.10 commentary permits use of r at 0.5*L.</t>
  </si>
  <si>
    <t>The vertical load from span wire is assumed to act at the centerline of the strain pole.</t>
  </si>
  <si>
    <t>When checking allowable axial compression, computation of the actual axial compression stress conservatively considers load at the base of the post divide by the post cross-sectional area at the span wire height.</t>
  </si>
  <si>
    <t>Wind load is applied assuming the attachments are mounted normal to the applied span wire tension.</t>
  </si>
  <si>
    <t>Typical Elevation (TC-8801, Sheet 2 of 10)</t>
  </si>
  <si>
    <t>- Analyze/Design anchor bolt patterns other than as shown on TC-8801, Sheet 3 of 10</t>
  </si>
  <si>
    <r>
      <t>A Tbl C-1, Coefficient of Height, C</t>
    </r>
    <r>
      <rPr>
        <b/>
        <vertAlign val="subscript"/>
        <sz val="10"/>
        <rFont val="Arial"/>
        <family val="2"/>
      </rPr>
      <t>h</t>
    </r>
  </si>
  <si>
    <t>&lt; H ≤</t>
  </si>
  <si>
    <t>Height (ft)</t>
  </si>
  <si>
    <r>
      <t>C</t>
    </r>
    <r>
      <rPr>
        <b/>
        <vertAlign val="subscript"/>
        <sz val="10"/>
        <rFont val="Arial"/>
        <family val="2"/>
      </rPr>
      <t>h</t>
    </r>
  </si>
  <si>
    <t>Signal and sign weights are in accordance with PennDOT Publication 149, Chapter 20.</t>
  </si>
  <si>
    <r>
      <t>Coefficient of drag (C</t>
    </r>
    <r>
      <rPr>
        <vertAlign val="subscript"/>
        <sz val="12"/>
        <rFont val="Arial"/>
        <family val="2"/>
      </rPr>
      <t>d</t>
    </r>
    <r>
      <rPr>
        <sz val="12"/>
        <rFont val="Arial"/>
        <family val="2"/>
      </rPr>
      <t>) = 0.50</t>
    </r>
  </si>
  <si>
    <r>
      <t>The drag coefficient, C</t>
    </r>
    <r>
      <rPr>
        <vertAlign val="subscript"/>
        <sz val="12"/>
        <rFont val="Arial"/>
        <family val="2"/>
      </rPr>
      <t>d</t>
    </r>
    <r>
      <rPr>
        <sz val="12"/>
        <rFont val="Arial"/>
        <family val="2"/>
      </rPr>
      <t>, for the control box is based on a square member as shown in AASHTO Tbl C-2.</t>
    </r>
  </si>
  <si>
    <t>The workbook is setup using nomenclature and configurations as presented in Publication 148 and 149. See the figures below.  Values to be entered for the program are highlighted in pale yellow/tan.
The user need only refer to Input and Output tabs for a complete analysis. Other tabs provide detailed computations for each element for reference should the user need to investigate results in-depth.</t>
  </si>
  <si>
    <t>PennDOT Pub 149, Chapter 20</t>
  </si>
  <si>
    <t>- Signal weights are in accordance with PennDOT Publication 149, Chapter 20</t>
  </si>
  <si>
    <t>Signal Configuration, PennDOT Pub. 149, Chapter 20</t>
  </si>
  <si>
    <t>Group I Vertical Force =</t>
  </si>
  <si>
    <t>lbs (Dead load only)</t>
  </si>
  <si>
    <t>tensile stress due to moment</t>
  </si>
  <si>
    <t>compressive stress due to dead load</t>
  </si>
  <si>
    <r>
      <t>f</t>
    </r>
    <r>
      <rPr>
        <vertAlign val="subscript"/>
        <sz val="10"/>
        <rFont val="Arial"/>
        <family val="2"/>
      </rPr>
      <t>cAC</t>
    </r>
    <r>
      <rPr>
        <sz val="10"/>
        <rFont val="Arial"/>
        <family val="2"/>
      </rPr>
      <t xml:space="preserve"> =</t>
    </r>
  </si>
  <si>
    <r>
      <t>f</t>
    </r>
    <r>
      <rPr>
        <vertAlign val="subscript"/>
        <sz val="10"/>
        <rFont val="Arial"/>
        <family val="2"/>
      </rPr>
      <t>tAC Net</t>
    </r>
    <r>
      <rPr>
        <sz val="10"/>
        <rFont val="Arial"/>
        <family val="2"/>
      </rPr>
      <t xml:space="preserve"> =</t>
    </r>
  </si>
  <si>
    <r>
      <t>net actual stress (f</t>
    </r>
    <r>
      <rPr>
        <vertAlign val="subscript"/>
        <sz val="10"/>
        <rFont val="Arial"/>
        <family val="2"/>
      </rPr>
      <t>tAC</t>
    </r>
    <r>
      <rPr>
        <sz val="10"/>
        <rFont val="Arial"/>
        <family val="2"/>
      </rPr>
      <t xml:space="preserve"> + f</t>
    </r>
    <r>
      <rPr>
        <vertAlign val="subscript"/>
        <sz val="10"/>
        <rFont val="Arial"/>
        <family val="2"/>
      </rPr>
      <t>cAC</t>
    </r>
    <r>
      <rPr>
        <sz val="10"/>
        <rFont val="Arial"/>
        <family val="2"/>
      </rPr>
      <t>)</t>
    </r>
  </si>
  <si>
    <t>Luminaire Height, TC-8801, Sheet 6 of 10</t>
  </si>
  <si>
    <t>Strain Pole Length (ft)</t>
  </si>
  <si>
    <t>Luminaire Height (ft)</t>
  </si>
  <si>
    <t>Extension/Top of Pole</t>
  </si>
  <si>
    <r>
      <t>f</t>
    </r>
    <r>
      <rPr>
        <b/>
        <vertAlign val="subscript"/>
        <sz val="10"/>
        <rFont val="Arial"/>
        <family val="2"/>
      </rPr>
      <t xml:space="preserve">b
</t>
    </r>
    <r>
      <rPr>
        <b/>
        <sz val="10"/>
        <rFont val="Arial"/>
        <family val="2"/>
      </rPr>
      <t xml:space="preserve"> (psi)</t>
    </r>
  </si>
  <si>
    <r>
      <t>f</t>
    </r>
    <r>
      <rPr>
        <b/>
        <vertAlign val="subscript"/>
        <sz val="10"/>
        <rFont val="Arial"/>
        <family val="2"/>
      </rPr>
      <t xml:space="preserve">v
</t>
    </r>
    <r>
      <rPr>
        <b/>
        <sz val="10"/>
        <rFont val="Arial"/>
        <family val="2"/>
      </rPr>
      <t>(psi)</t>
    </r>
  </si>
  <si>
    <r>
      <t>f</t>
    </r>
    <r>
      <rPr>
        <b/>
        <vertAlign val="subscript"/>
        <sz val="10"/>
        <rFont val="Arial"/>
        <family val="2"/>
      </rPr>
      <t>a</t>
    </r>
    <r>
      <rPr>
        <b/>
        <sz val="10"/>
        <rFont val="Arial"/>
        <family val="2"/>
      </rPr>
      <t xml:space="preserve"> 
(psi)</t>
    </r>
  </si>
  <si>
    <t>The purpose of this worksheet/workbook is to analyze a strain pole.  The  strain pole,  base plate and anchor bolts are analyzed for allowable stresses.  Loading may be entered as a design tension or as group loads.  Poles with and without luminaires may be analyzed.  Anchor bolts in the base plate are selected according to TC-8801, Sheet 3 of 10. 
Analysis is in accordance with PennDOT Publications 148 and 149 and AASHTO Standard Specifications for Structural Supports for Highway Signs, Luminaries and Traffic Signals, 4th Edition with 2002, 2003 and 2006 Interims.
See the Input Instruction and Diagram Tab for input directon.</t>
  </si>
  <si>
    <t>- Analyze material types other than steel.</t>
  </si>
  <si>
    <t>Strain poles may be analyzed with or without a luminaire.</t>
  </si>
  <si>
    <t>Signal configuration &amp; signal sections in each direction are as described in PennDOT Publication 149 Chapter 20.</t>
  </si>
  <si>
    <t>- Luminaire arm center of gravity :  0.5 x Luminaire Arm Length</t>
  </si>
  <si>
    <t>Pole Height =</t>
  </si>
  <si>
    <t>Signal Configuration &amp; Signal Sections are as provided in PennDOT Publication 149, 
Chapter 20.</t>
  </si>
  <si>
    <r>
      <t>Amplification for secondary moment effects are considered where (kL)/r ≥ √((2·π²·E)/Fy).  Where this is condition is not met, the coefficient for amplification, C</t>
    </r>
    <r>
      <rPr>
        <vertAlign val="subscript"/>
        <sz val="12"/>
        <rFont val="Arial"/>
        <family val="2"/>
      </rPr>
      <t>A</t>
    </r>
    <r>
      <rPr>
        <sz val="12"/>
        <rFont val="Arial"/>
        <family val="2"/>
      </rPr>
      <t>, is equal to 1.0. Moment magnification is considered relative to the span wire height since the majority of the load is applied at the span wire. The factor C</t>
    </r>
    <r>
      <rPr>
        <vertAlign val="subscript"/>
        <sz val="12"/>
        <rFont val="Arial"/>
        <family val="2"/>
      </rPr>
      <t>A</t>
    </r>
    <r>
      <rPr>
        <sz val="12"/>
        <rFont val="Arial"/>
        <family val="2"/>
      </rPr>
      <t xml:space="preserve"> is computed for the bottom of the post and applied to bending stresses at the post base and the hand-hole. Moment amplification is neglected for stresses at the mast arms.</t>
    </r>
  </si>
  <si>
    <t>Includes post attachments Signal Q, Sign V and a Control box as defined by 
Pub. 148 &amp; 149.</t>
  </si>
  <si>
    <r>
      <t xml:space="preserve">Base Plate Geometry and Material
</t>
    </r>
    <r>
      <rPr>
        <sz val="12"/>
        <rFont val="Arial"/>
        <family val="2"/>
      </rPr>
      <t>Input parameters in a manner similar to strain pole geometry and material input. See the figures below for definition of elements. The fatigue categories are not inputs and are shown for information only.</t>
    </r>
  </si>
  <si>
    <r>
      <t xml:space="preserve">Output:
</t>
    </r>
    <r>
      <rPr>
        <sz val="12"/>
        <rFont val="Arial"/>
        <family val="2"/>
      </rPr>
      <t xml:space="preserve">No action is required to generate output. Once all input has been completed, output may
be viewed.
Warnings are printed when certain geometry parameters are not met. However, except as noted in the limitations of the program, the program will still perform other specification checks appropriately. </t>
    </r>
  </si>
  <si>
    <r>
      <rPr>
        <b/>
        <sz val="12"/>
        <rFont val="Arial"/>
        <family val="2"/>
      </rPr>
      <t>Strain Pole Geometry and Material</t>
    </r>
    <r>
      <rPr>
        <sz val="12"/>
        <rFont val="Arial"/>
        <family val="2"/>
      </rPr>
      <t xml:space="preserve">
Select material from the picklist of commonly used materials. If the material is not on the
picklist, select 'Other" and enter the yield strength (F</t>
    </r>
    <r>
      <rPr>
        <vertAlign val="subscript"/>
        <sz val="12"/>
        <rFont val="Arial"/>
        <family val="2"/>
      </rPr>
      <t>y</t>
    </r>
    <r>
      <rPr>
        <sz val="12"/>
        <rFont val="Arial"/>
        <family val="2"/>
      </rPr>
      <t>) in the cell to the right of the
material input.
Enter geometry and select the shape from the pull down picklist.</t>
    </r>
  </si>
  <si>
    <t>rotation for end moment at span wire</t>
  </si>
  <si>
    <t>L
(ft)</t>
  </si>
  <si>
    <t>M*
(lb-ft)</t>
  </si>
  <si>
    <r>
      <t>R</t>
    </r>
    <r>
      <rPr>
        <b/>
        <vertAlign val="subscript"/>
        <sz val="10"/>
        <rFont val="Arial"/>
        <family val="2"/>
      </rPr>
      <t xml:space="preserve">a
</t>
    </r>
    <r>
      <rPr>
        <b/>
        <sz val="10"/>
        <rFont val="Arial"/>
        <family val="2"/>
      </rPr>
      <t>(in)</t>
    </r>
  </si>
  <si>
    <r>
      <t>R</t>
    </r>
    <r>
      <rPr>
        <b/>
        <vertAlign val="subscript"/>
        <sz val="10"/>
        <rFont val="Arial"/>
        <family val="2"/>
      </rPr>
      <t xml:space="preserve">b
</t>
    </r>
    <r>
      <rPr>
        <b/>
        <sz val="10"/>
        <rFont val="Arial"/>
        <family val="2"/>
      </rPr>
      <t>(in)</t>
    </r>
  </si>
  <si>
    <t>Deflection at Load Point
(in)</t>
  </si>
  <si>
    <t>Deflection at Luminaire
(in)</t>
  </si>
  <si>
    <t>Deflection (in)</t>
  </si>
  <si>
    <t>Anchor Bolt Combined Stress Ratio</t>
  </si>
  <si>
    <t>Only strain poles with round, 16 sided, 12 sided, 8 sided shapes and a square shape may be input. (Note that Pub. 408 requires a minimum of 8 sides for multi-sided members.)</t>
  </si>
  <si>
    <r>
      <t>For non-circular shaped posts and arms, the calculation of coefficient of drag (C</t>
    </r>
    <r>
      <rPr>
        <vertAlign val="subscript"/>
        <sz val="12"/>
        <rFont val="Arial"/>
        <family val="2"/>
      </rPr>
      <t>d</t>
    </r>
    <r>
      <rPr>
        <sz val="12"/>
        <rFont val="Arial"/>
        <family val="2"/>
      </rPr>
      <t>)
assumes an inside corner radius = 3/8 inch. See AASHTO Appendix C, Table C-2
for application.</t>
    </r>
  </si>
  <si>
    <t>- Pole mounted Signal Configuration &amp; Signal Sections are as described in PennDOT Publication 149,
Chapter 20</t>
  </si>
  <si>
    <t>- Assume all pole mounted signals have 12" lenses with backplate, 5 inch border</t>
  </si>
  <si>
    <t xml:space="preserve">lbs </t>
  </si>
  <si>
    <t>Design Tension (Value neglected when Loading Type = Group Loads):</t>
  </si>
  <si>
    <t>Group Loading (Values neglected when Loading Type = Design Tension):</t>
  </si>
  <si>
    <r>
      <t>Distance</t>
    </r>
    <r>
      <rPr>
        <vertAlign val="superscript"/>
        <sz val="10"/>
        <rFont val="Arial"/>
        <family val="2"/>
      </rPr>
      <t>(1)</t>
    </r>
    <r>
      <rPr>
        <sz val="10"/>
        <rFont val="Arial"/>
        <family val="2"/>
      </rPr>
      <t xml:space="preserve"> y</t>
    </r>
    <r>
      <rPr>
        <vertAlign val="subscript"/>
        <sz val="10"/>
        <rFont val="Arial"/>
        <family val="2"/>
      </rPr>
      <t>n</t>
    </r>
    <r>
      <rPr>
        <sz val="10"/>
        <rFont val="Arial"/>
        <family val="2"/>
      </rPr>
      <t xml:space="preserve"> (ft)</t>
    </r>
  </si>
  <si>
    <t>If "No" is entered for the luminaire, these values are ignored by the program</t>
  </si>
  <si>
    <t>(in) Diameter at spanwire</t>
  </si>
  <si>
    <r>
      <rPr>
        <b/>
        <sz val="10"/>
        <rFont val="Arial"/>
        <family val="2"/>
      </rPr>
      <t>Note:</t>
    </r>
    <r>
      <rPr>
        <sz val="10"/>
        <rFont val="Arial"/>
        <family val="2"/>
      </rPr>
      <t xml:space="preserve"> Anchor bolt size and arrangement are calculated by the program using TC-8801 criteria.</t>
    </r>
  </si>
  <si>
    <r>
      <t>Base Plate Material Yield Strength , F</t>
    </r>
    <r>
      <rPr>
        <vertAlign val="subscript"/>
        <sz val="10"/>
        <rFont val="Arial"/>
        <family val="2"/>
      </rPr>
      <t>y</t>
    </r>
    <r>
      <rPr>
        <sz val="10"/>
        <rFont val="Arial"/>
        <family val="2"/>
      </rPr>
      <t xml:space="preserve"> =</t>
    </r>
  </si>
  <si>
    <r>
      <t>Base Plate Material Ultimate Strength , F</t>
    </r>
    <r>
      <rPr>
        <vertAlign val="subscript"/>
        <sz val="10"/>
        <rFont val="Arial"/>
        <family val="2"/>
      </rPr>
      <t>u</t>
    </r>
    <r>
      <rPr>
        <sz val="10"/>
        <rFont val="Arial"/>
        <family val="2"/>
      </rPr>
      <t xml:space="preserve"> =</t>
    </r>
  </si>
  <si>
    <t>bolt circle radius (dist to extreme tension)</t>
  </si>
  <si>
    <t>Shear Stress (psi)</t>
  </si>
  <si>
    <t>Base Plate Bending Stress (psi)</t>
  </si>
  <si>
    <t>Check assumes washer diameter is 2 · Bolt Diameter plus 1/4" to edge of plate.</t>
  </si>
  <si>
    <r>
      <t>: F</t>
    </r>
    <r>
      <rPr>
        <vertAlign val="subscript"/>
        <sz val="10"/>
        <rFont val="Arial"/>
        <family val="2"/>
      </rPr>
      <t>y</t>
    </r>
    <r>
      <rPr>
        <sz val="10"/>
        <rFont val="Arial"/>
        <family val="2"/>
      </rPr>
      <t xml:space="preserve"> Post (psi)</t>
    </r>
  </si>
  <si>
    <t>O.D. @ Spanwire =</t>
  </si>
  <si>
    <r>
      <t>M</t>
    </r>
    <r>
      <rPr>
        <vertAlign val="subscript"/>
        <sz val="10"/>
        <rFont val="Arial"/>
        <family val="2"/>
      </rPr>
      <t xml:space="preserve">Z </t>
    </r>
    <r>
      <rPr>
        <sz val="10"/>
        <rFont val="Arial"/>
        <family val="2"/>
      </rPr>
      <t>- Conservatively applied as M</t>
    </r>
    <r>
      <rPr>
        <vertAlign val="subscript"/>
        <sz val="10"/>
        <rFont val="Arial"/>
        <family val="2"/>
      </rPr>
      <t xml:space="preserve">X </t>
    </r>
    <r>
      <rPr>
        <sz val="10"/>
        <rFont val="Arial"/>
        <family val="2"/>
      </rPr>
      <t>(ft-lb)</t>
    </r>
  </si>
  <si>
    <r>
      <t>M</t>
    </r>
    <r>
      <rPr>
        <vertAlign val="subscript"/>
        <sz val="10"/>
        <rFont val="Arial"/>
        <family val="2"/>
      </rPr>
      <t xml:space="preserve">Z </t>
    </r>
    <r>
      <rPr>
        <sz val="10"/>
        <rFont val="Arial"/>
        <family val="2"/>
      </rPr>
      <t xml:space="preserve"> - Conservatively applied as M</t>
    </r>
    <r>
      <rPr>
        <vertAlign val="subscript"/>
        <sz val="10"/>
        <rFont val="Arial"/>
        <family val="2"/>
      </rPr>
      <t xml:space="preserve">X </t>
    </r>
    <r>
      <rPr>
        <sz val="10"/>
        <rFont val="Arial"/>
        <family val="2"/>
      </rPr>
      <t>(ft-lb)</t>
    </r>
  </si>
  <si>
    <t>Since design tension includes dead, wind and ice loads the following  proportions of the design tension load are assumed to generate group loads when a design tension force is used for design:</t>
  </si>
  <si>
    <t>Pub 149, Chapter 20</t>
  </si>
  <si>
    <r>
      <t>P</t>
    </r>
    <r>
      <rPr>
        <b/>
        <vertAlign val="subscript"/>
        <sz val="10"/>
        <rFont val="Arial"/>
        <family val="2"/>
      </rPr>
      <t xml:space="preserve">Z                  </t>
    </r>
    <r>
      <rPr>
        <b/>
        <sz val="10"/>
        <rFont val="Arial"/>
        <family val="2"/>
      </rPr>
      <t>(psf)</t>
    </r>
  </si>
  <si>
    <t>Both Group II &amp; III apply 25 psf minimum</t>
  </si>
  <si>
    <t>Span Wire Group Loads:</t>
  </si>
  <si>
    <t>(-) Compression</t>
  </si>
  <si>
    <r>
      <t>f</t>
    </r>
    <r>
      <rPr>
        <vertAlign val="subscript"/>
        <sz val="10"/>
        <rFont val="Arial"/>
        <family val="2"/>
      </rPr>
      <t>b</t>
    </r>
    <r>
      <rPr>
        <sz val="10"/>
        <rFont val="Arial"/>
        <family val="2"/>
      </rPr>
      <t xml:space="preserve"> = max bending stress</t>
    </r>
  </si>
  <si>
    <r>
      <t>f</t>
    </r>
    <r>
      <rPr>
        <vertAlign val="subscript"/>
        <sz val="10"/>
        <rFont val="Arial"/>
        <family val="2"/>
      </rPr>
      <t>v</t>
    </r>
    <r>
      <rPr>
        <sz val="10"/>
        <rFont val="Arial"/>
        <family val="2"/>
      </rPr>
      <t xml:space="preserve"> = shear stress</t>
    </r>
  </si>
  <si>
    <r>
      <t>f</t>
    </r>
    <r>
      <rPr>
        <vertAlign val="subscript"/>
        <sz val="10"/>
        <rFont val="Arial"/>
        <family val="2"/>
      </rPr>
      <t>a</t>
    </r>
    <r>
      <rPr>
        <sz val="10"/>
        <rFont val="Arial"/>
        <family val="2"/>
      </rPr>
      <t xml:space="preserve"> = axial stress</t>
    </r>
  </si>
  <si>
    <t>(AASHTO 5.10 commentary allows r @ 0.5L)</t>
  </si>
  <si>
    <t xml:space="preserve">M
(lb-ft) </t>
  </si>
  <si>
    <t>P
(lb)</t>
  </si>
  <si>
    <t>-</t>
  </si>
  <si>
    <t>Total deflection at span wire height =</t>
  </si>
  <si>
    <t>Allowable deflection at span wire height (2.5% of Strain Pole Height) =</t>
  </si>
  <si>
    <t>W
(lb)</t>
  </si>
  <si>
    <t>-Dead Load and Wind Area taken in accordance with PennDOT Pub 149, Chapter 20</t>
  </si>
  <si>
    <t>(Pub. 149, Chapter 20)</t>
  </si>
  <si>
    <t>- For sign sizes not provided in Pub. 149, a dead load of 5 psf based was based on a 30"x36" sign weighing 39 pounds, as shown in Pub 149, Chapter 20</t>
  </si>
  <si>
    <t>Horizontal Load
(lbs)</t>
  </si>
  <si>
    <t>Horizontal Load (Percent of Design Tension)</t>
  </si>
  <si>
    <t>Span Wire Load</t>
  </si>
  <si>
    <t>*Conservative value at extension height for luminaire loads, and at span wire height for span wire loads</t>
  </si>
  <si>
    <t>Only the resultant force of multiple span wires can be analyzed.  If multiple span
wires are attached to the strain pole, the forces from each individual span wire must
be combined and entered as one force for loading on the strain pole.  Wind loads on
the pole and luminaire are conservatively assumed to act in the same direction as the resultant force.</t>
  </si>
  <si>
    <t>-Wind loads and dead loads due to the luminare/luminaire arm are conservatively assumed to act about the same axis.  Varing angles of wind on the luminaire arm are not considered.</t>
  </si>
  <si>
    <t>The strain pole analysis may be performed using a Design Tension for the strain pole, or Group Loadings from the Spanwire Analysis Spreadsheet (Span Wire Ver 1.0 97-03 Excel.xls) or a separate span wire analysis.  The spreadsheet assumes that multiple spanwires attached to a strain pole act as one resultant force.  If a Design Tension load type is selected, the design tension force is conservatively proportioned into group loads with the following assumptions:</t>
  </si>
  <si>
    <t>Vertical Load (Percent of Horiz Load)</t>
  </si>
  <si>
    <t>Initial progam</t>
  </si>
  <si>
    <t>(3) Signal Q mount height for traffic signal heads or for
     pedestrian signals heads. See TC-8801.</t>
  </si>
  <si>
    <t>(1) For post loads, enter the distance from the base of post to center of attachment.  If attachment is
     not present, select "None" and enter a zero distance (If sign or control box is present, the mount
     height is pre-defined)</t>
  </si>
  <si>
    <t>Luminaire :</t>
  </si>
  <si>
    <t>Luminaire Weight=</t>
  </si>
  <si>
    <t>Luminaire Mast Arm Weight =</t>
  </si>
  <si>
    <t>Total Span Wire Group Loads:</t>
  </si>
  <si>
    <t>Subtotal Loads (Excluding Span Wire Loads)</t>
  </si>
  <si>
    <t>-Moment magnification (considered relative to span wirer height since majority of load is at the span wire)</t>
  </si>
  <si>
    <r>
      <t>Signal Config. - Signal Sec. Each Direction</t>
    </r>
    <r>
      <rPr>
        <vertAlign val="superscript"/>
        <sz val="10"/>
        <rFont val="Arial"/>
        <family val="2"/>
      </rPr>
      <t>(2)</t>
    </r>
  </si>
  <si>
    <t>(ft) Top of base plate to top of Strain Pole 
(Span Wire Ht + 1ft)</t>
  </si>
  <si>
    <t>Luminaire Arm height is determined in accordance with TC-8801, Sheet 6 of 10.</t>
  </si>
  <si>
    <t>05.24.2012</t>
  </si>
  <si>
    <r>
      <t>The centroid of the luminaire arm is assumed to be 1 ft above the strain pole height for calculating C</t>
    </r>
    <r>
      <rPr>
        <vertAlign val="subscript"/>
        <sz val="12"/>
        <rFont val="Arial"/>
        <family val="2"/>
      </rPr>
      <t>h</t>
    </r>
    <r>
      <rPr>
        <sz val="12"/>
        <rFont val="Arial"/>
        <family val="2"/>
      </rPr>
      <t xml:space="preserve"> for wind loading.</t>
    </r>
  </si>
  <si>
    <t>- Ice area = 17.3 sf</t>
  </si>
  <si>
    <r>
      <t>The centroid of the luminaire is assumed to be 2 ft above the Strain pole height for calculating C</t>
    </r>
    <r>
      <rPr>
        <vertAlign val="subscript"/>
        <sz val="12"/>
        <rFont val="Arial"/>
        <family val="2"/>
      </rPr>
      <t>h</t>
    </r>
    <r>
      <rPr>
        <sz val="12"/>
        <rFont val="Arial"/>
        <family val="2"/>
      </rPr>
      <t xml:space="preserve"> for wind loading.</t>
    </r>
  </si>
  <si>
    <t>Plan area of luminaire = 1.5 sf per Pub 408, Section 1106.06(b)-1</t>
  </si>
  <si>
    <r>
      <rPr>
        <b/>
        <sz val="12"/>
        <rFont val="Arial"/>
        <family val="2"/>
      </rPr>
      <t xml:space="preserve">Loading Input: </t>
    </r>
    <r>
      <rPr>
        <sz val="12"/>
        <rFont val="Arial"/>
        <family val="2"/>
      </rPr>
      <t xml:space="preserve">
The strain pole analysis may be performed using a Design Tension or specific Group Loadings. Select the loading type desired. Loads not associated with the loading type selected are neglected by the program. However, entering zero for loads not associated with the selected load type is recommended to avoid mis-interpretation.
The Spanwire Analysis Spreadsheet (Span Wire Ver 1.0 97-03 Excel.xls) output tab provides Group I loads and the controlling Group II or Group III loads.  If using the Spanwire Analysis Output, enter the Group I loads and the controlling load group for both Group II and III. If the user has loads for Groups I,II and III, all group loads may be entered.
Select pole attachments from the feature's drop down picklist. Select 'None' or 'No' if the feature is not present. Enter the distance from the base plate of the strain pole to the signal. Distances for the sign and control box are automatically entered by the program (8.5 ft and 4.5 ft respectively).
</t>
    </r>
  </si>
  <si>
    <t>The strain pole height extends 1 ft above the span wire connection height in accordance with TC-8801, Sheet 2 of 10.</t>
  </si>
  <si>
    <t>Miscellaneous components attached to the post are assumed to be at a height less than or equal to 14 ft.</t>
  </si>
  <si>
    <t>-Per AASHTO 3.7, the ice load is applied to all surfaces of traffic signals.  The Ice Area is assumed to be equal to 2 x Wind Area to account for the front and rear face of the signal plus an additional 2 square feet to account for the top, bottom and sides of the signal.</t>
  </si>
  <si>
    <t>- Analyze a structure with a span wire higher than 34 ft.</t>
  </si>
  <si>
    <t>Ice area = 4 x 1.5 sf (4 x plan area)</t>
  </si>
  <si>
    <r>
      <t>bolt * in</t>
    </r>
    <r>
      <rPr>
        <vertAlign val="superscript"/>
        <sz val="10"/>
        <rFont val="Arial"/>
        <family val="2"/>
      </rPr>
      <t>2</t>
    </r>
  </si>
  <si>
    <t>in (radius of the bolt circle)</t>
  </si>
  <si>
    <t>in (radius of the post)</t>
  </si>
  <si>
    <r>
      <t>(f</t>
    </r>
    <r>
      <rPr>
        <vertAlign val="subscript"/>
        <sz val="12"/>
        <rFont val="Arial"/>
        <family val="2"/>
      </rPr>
      <t>v</t>
    </r>
    <r>
      <rPr>
        <sz val="12"/>
        <rFont val="Arial"/>
        <family val="2"/>
      </rPr>
      <t>/F</t>
    </r>
    <r>
      <rPr>
        <vertAlign val="subscript"/>
        <sz val="12"/>
        <rFont val="Arial"/>
        <family val="2"/>
      </rPr>
      <t>v</t>
    </r>
    <r>
      <rPr>
        <sz val="12"/>
        <rFont val="Arial"/>
        <family val="2"/>
      </rPr>
      <t>)</t>
    </r>
    <r>
      <rPr>
        <vertAlign val="superscript"/>
        <sz val="12"/>
        <rFont val="Arial"/>
        <family val="2"/>
      </rPr>
      <t>2</t>
    </r>
    <r>
      <rPr>
        <sz val="12"/>
        <rFont val="Arial"/>
        <family val="2"/>
      </rPr>
      <t xml:space="preserve"> + (f</t>
    </r>
    <r>
      <rPr>
        <vertAlign val="subscript"/>
        <sz val="12"/>
        <rFont val="Arial"/>
        <family val="2"/>
      </rPr>
      <t>t</t>
    </r>
    <r>
      <rPr>
        <sz val="12"/>
        <rFont val="Arial"/>
        <family val="2"/>
      </rPr>
      <t>/F</t>
    </r>
    <r>
      <rPr>
        <vertAlign val="subscript"/>
        <sz val="12"/>
        <rFont val="Arial"/>
        <family val="2"/>
      </rPr>
      <t>t</t>
    </r>
    <r>
      <rPr>
        <sz val="12"/>
        <rFont val="Arial"/>
        <family val="2"/>
      </rPr>
      <t>)</t>
    </r>
    <r>
      <rPr>
        <vertAlign val="superscript"/>
        <sz val="12"/>
        <rFont val="Arial"/>
        <family val="2"/>
      </rPr>
      <t>2</t>
    </r>
    <r>
      <rPr>
        <sz val="12"/>
        <rFont val="Arial"/>
        <family val="2"/>
      </rPr>
      <t xml:space="preserve"> ≤ 1.0</t>
    </r>
  </si>
  <si>
    <r>
      <t>psi (f</t>
    </r>
    <r>
      <rPr>
        <vertAlign val="subscript"/>
        <sz val="10"/>
        <rFont val="Arial"/>
        <family val="2"/>
      </rPr>
      <t>tBP</t>
    </r>
    <r>
      <rPr>
        <sz val="10"/>
        <rFont val="Arial"/>
        <family val="2"/>
      </rPr>
      <t>=M(R</t>
    </r>
    <r>
      <rPr>
        <vertAlign val="subscript"/>
        <sz val="10"/>
        <rFont val="Arial"/>
        <family val="2"/>
      </rPr>
      <t>b</t>
    </r>
    <r>
      <rPr>
        <sz val="10"/>
        <rFont val="Arial"/>
        <family val="2"/>
      </rPr>
      <t>-R</t>
    </r>
    <r>
      <rPr>
        <vertAlign val="subscript"/>
        <sz val="10"/>
        <rFont val="Arial"/>
        <family val="2"/>
      </rPr>
      <t>p</t>
    </r>
    <r>
      <rPr>
        <sz val="10"/>
        <rFont val="Arial"/>
        <family val="2"/>
      </rPr>
      <t>)/t</t>
    </r>
    <r>
      <rPr>
        <vertAlign val="superscript"/>
        <sz val="10"/>
        <rFont val="Arial"/>
        <family val="2"/>
      </rPr>
      <t>2</t>
    </r>
    <r>
      <rPr>
        <sz val="10"/>
        <rFont val="Arial"/>
        <family val="2"/>
      </rPr>
      <t>R</t>
    </r>
    <r>
      <rPr>
        <vertAlign val="subscript"/>
        <sz val="10"/>
        <rFont val="Arial"/>
        <family val="2"/>
      </rPr>
      <t>p</t>
    </r>
    <r>
      <rPr>
        <sz val="10"/>
        <rFont val="Arial"/>
        <family val="2"/>
      </rPr>
      <t>R</t>
    </r>
    <r>
      <rPr>
        <vertAlign val="subscript"/>
        <sz val="10"/>
        <rFont val="Arial"/>
        <family val="2"/>
      </rPr>
      <t>b</t>
    </r>
    <r>
      <rPr>
        <sz val="10"/>
        <rFont val="Arial"/>
        <family val="2"/>
      </rPr>
      <t>)</t>
    </r>
  </si>
  <si>
    <r>
      <t>psi (0.75F</t>
    </r>
    <r>
      <rPr>
        <vertAlign val="subscript"/>
        <sz val="10"/>
        <rFont val="Arial"/>
        <family val="2"/>
      </rPr>
      <t>y</t>
    </r>
    <r>
      <rPr>
        <sz val="10"/>
        <rFont val="Arial"/>
        <family val="2"/>
      </rPr>
      <t>)</t>
    </r>
  </si>
  <si>
    <r>
      <t>in</t>
    </r>
    <r>
      <rPr>
        <vertAlign val="superscript"/>
        <sz val="10"/>
        <rFont val="Arial"/>
        <family val="2"/>
      </rPr>
      <t>4</t>
    </r>
  </si>
  <si>
    <r>
      <t>in</t>
    </r>
    <r>
      <rPr>
        <vertAlign val="superscript"/>
        <sz val="10"/>
        <rFont val="Arial"/>
        <family val="2"/>
      </rPr>
      <t>3</t>
    </r>
  </si>
  <si>
    <t>01.15.2014</t>
  </si>
  <si>
    <t>Unlocked input cells E24 thru F26.</t>
  </si>
  <si>
    <t>Functionality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</si>
</sst>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0"/>
    <numFmt numFmtId="166" formatCode="0.0"/>
    <numFmt numFmtId="167" formatCode="#\ ?/??"/>
    <numFmt numFmtId="168" formatCode="m/d/yy;@"/>
    <numFmt numFmtId="169" formatCode="m/d/yyyy;@"/>
    <numFmt numFmtId="170" formatCode="#&quot;.)&quot;"/>
    <numFmt numFmtId="171" formatCode="0.0%"/>
  </numFmts>
  <fonts count="35" x14ac:knownFonts="1">
    <font>
      <sz val="10"/>
      <name val="Times New Roman"/>
      <family val="1"/>
      <charset val="204"/>
    </font>
    <font>
      <sz val="10"/>
      <name val="Times New Roman"/>
      <family val="1"/>
      <charset val="204"/>
    </font>
    <font>
      <sz val="10"/>
      <name val="Arial"/>
      <family val="2"/>
    </font>
    <font>
      <b/>
      <sz val="10"/>
      <name val="Arial"/>
      <family val="2"/>
    </font>
    <font>
      <b/>
      <sz val="10"/>
      <color indexed="12"/>
      <name val="Arial"/>
      <family val="2"/>
    </font>
    <font>
      <u/>
      <sz val="10"/>
      <name val="Arial"/>
      <family val="2"/>
    </font>
    <font>
      <vertAlign val="subscript"/>
      <sz val="10"/>
      <name val="Arial"/>
      <family val="2"/>
    </font>
    <font>
      <b/>
      <i/>
      <sz val="10"/>
      <name val="Arial"/>
      <family val="2"/>
    </font>
    <font>
      <b/>
      <u/>
      <sz val="10"/>
      <name val="Arial"/>
      <family val="2"/>
    </font>
    <font>
      <sz val="9"/>
      <name val="Arial"/>
      <family val="2"/>
    </font>
    <font>
      <vertAlign val="superscript"/>
      <sz val="10"/>
      <name val="Arial"/>
      <family val="2"/>
    </font>
    <font>
      <vertAlign val="superscript"/>
      <sz val="9"/>
      <name val="Arial"/>
      <family val="2"/>
    </font>
    <font>
      <sz val="8"/>
      <name val="Times New Roman"/>
      <family val="1"/>
      <charset val="204"/>
    </font>
    <font>
      <i/>
      <sz val="10"/>
      <name val="Arial"/>
      <family val="2"/>
    </font>
    <font>
      <b/>
      <u/>
      <sz val="16"/>
      <name val="Arial"/>
      <family val="2"/>
    </font>
    <font>
      <sz val="12"/>
      <name val="Arial"/>
      <family val="2"/>
    </font>
    <font>
      <sz val="11"/>
      <name val="Arial"/>
      <family val="2"/>
    </font>
    <font>
      <b/>
      <sz val="14"/>
      <name val="Arial"/>
      <family val="2"/>
    </font>
    <font>
      <sz val="8"/>
      <name val="Arial"/>
      <family val="2"/>
    </font>
    <font>
      <b/>
      <vertAlign val="superscript"/>
      <sz val="10"/>
      <name val="Arial"/>
      <family val="2"/>
    </font>
    <font>
      <b/>
      <vertAlign val="subscript"/>
      <sz val="10"/>
      <name val="Arial"/>
      <family val="2"/>
    </font>
    <font>
      <b/>
      <u/>
      <sz val="11"/>
      <name val="Arial"/>
      <family val="2"/>
    </font>
    <font>
      <b/>
      <u/>
      <sz val="12"/>
      <name val="Arial"/>
      <family val="2"/>
    </font>
    <font>
      <b/>
      <sz val="12"/>
      <name val="Arial"/>
      <family val="2"/>
    </font>
    <font>
      <b/>
      <i/>
      <u/>
      <sz val="14"/>
      <name val="Arial"/>
      <family val="2"/>
    </font>
    <font>
      <b/>
      <u/>
      <sz val="14"/>
      <name val="Arial"/>
      <family val="2"/>
    </font>
    <font>
      <vertAlign val="subscript"/>
      <sz val="12"/>
      <name val="Arial"/>
      <family val="2"/>
    </font>
    <font>
      <i/>
      <sz val="12"/>
      <name val="Arial"/>
      <family val="2"/>
    </font>
    <font>
      <sz val="10"/>
      <name val="Arial"/>
      <family val="2"/>
    </font>
    <font>
      <b/>
      <sz val="11"/>
      <name val="Arial"/>
      <family val="2"/>
    </font>
    <font>
      <vertAlign val="superscript"/>
      <sz val="12"/>
      <name val="Arial"/>
      <family val="2"/>
    </font>
    <font>
      <b/>
      <i/>
      <sz val="10"/>
      <color theme="3" tint="-0.249977111117893"/>
      <name val="Arial"/>
      <family val="2"/>
    </font>
    <font>
      <b/>
      <i/>
      <sz val="10"/>
      <color theme="3"/>
      <name val="Arial"/>
      <family val="2"/>
    </font>
    <font>
      <b/>
      <sz val="10"/>
      <color rgb="FFFF0000"/>
      <name val="Arial"/>
      <family val="2"/>
    </font>
    <font>
      <sz val="10"/>
      <color rgb="FF0070C0"/>
      <name val="Arial"/>
      <family val="2"/>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7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applyNumberFormat="0" applyFill="0" applyBorder="0" applyProtection="0">
      <alignment vertical="top" wrapText="1"/>
    </xf>
    <xf numFmtId="0" fontId="2" fillId="0" borderId="0"/>
    <xf numFmtId="0" fontId="28" fillId="0" borderId="0"/>
    <xf numFmtId="9" fontId="1" fillId="0" borderId="0" applyFont="0" applyFill="0" applyBorder="0" applyAlignment="0" applyProtection="0"/>
  </cellStyleXfs>
  <cellXfs count="947">
    <xf numFmtId="0" fontId="0" fillId="0" borderId="0" xfId="0">
      <alignment vertical="top" wrapText="1"/>
    </xf>
    <xf numFmtId="0" fontId="2" fillId="0" borderId="0" xfId="0" applyFont="1" applyProtection="1">
      <alignment vertical="top" wrapText="1"/>
    </xf>
    <xf numFmtId="0" fontId="2" fillId="0" borderId="0" xfId="0" applyFont="1" applyAlignment="1" applyProtection="1">
      <alignment horizontal="right" vertical="top"/>
    </xf>
    <xf numFmtId="0" fontId="2" fillId="0" borderId="0" xfId="0" applyFont="1" applyBorder="1" applyAlignment="1" applyProtection="1">
      <alignment vertical="top"/>
    </xf>
    <xf numFmtId="0" fontId="2" fillId="0" borderId="0" xfId="0" applyFont="1" applyAlignment="1" applyProtection="1">
      <alignment horizontal="right" vertical="top" wrapText="1"/>
    </xf>
    <xf numFmtId="0" fontId="2" fillId="0" borderId="0" xfId="0" applyFont="1" applyAlignment="1" applyProtection="1">
      <alignment horizontal="left"/>
    </xf>
    <xf numFmtId="0" fontId="2" fillId="0" borderId="0" xfId="0" applyFont="1" applyAlignment="1" applyProtection="1">
      <alignment horizontal="right"/>
    </xf>
    <xf numFmtId="0" fontId="2" fillId="0" borderId="0" xfId="0" applyFont="1" applyBorder="1" applyProtection="1">
      <alignment vertical="top" wrapText="1"/>
    </xf>
    <xf numFmtId="0" fontId="2" fillId="0" borderId="1" xfId="0" applyFont="1" applyBorder="1" applyProtection="1">
      <alignment vertical="top" wrapText="1"/>
    </xf>
    <xf numFmtId="0" fontId="1" fillId="0" borderId="0" xfId="0" applyFont="1" applyAlignment="1" applyProtection="1">
      <alignment vertical="top" wrapText="1"/>
    </xf>
    <xf numFmtId="0" fontId="2" fillId="0" borderId="0" xfId="0" applyFont="1" applyAlignment="1" applyProtection="1">
      <alignment vertical="top"/>
    </xf>
    <xf numFmtId="0" fontId="2" fillId="0" borderId="0" xfId="0" applyNumberFormat="1" applyFont="1" applyFill="1" applyBorder="1" applyAlignment="1" applyProtection="1"/>
    <xf numFmtId="2" fontId="2" fillId="0" borderId="0" xfId="0" applyNumberFormat="1" applyFont="1" applyAlignment="1" applyProtection="1">
      <alignment horizontal="left"/>
    </xf>
    <xf numFmtId="0" fontId="4" fillId="0" borderId="0" xfId="0" applyNumberFormat="1" applyFont="1" applyFill="1" applyBorder="1" applyAlignment="1" applyProtection="1"/>
    <xf numFmtId="0" fontId="3" fillId="0" borderId="0" xfId="0" applyFont="1" applyAlignment="1" applyProtection="1">
      <alignment vertical="top"/>
    </xf>
    <xf numFmtId="0" fontId="2" fillId="0" borderId="0" xfId="0" applyNumberFormat="1" applyFont="1" applyFill="1" applyBorder="1" applyAlignment="1" applyProtection="1">
      <alignment horizontal="right"/>
    </xf>
    <xf numFmtId="0" fontId="2" fillId="0" borderId="0" xfId="0" applyNumberFormat="1" applyFont="1" applyFill="1" applyBorder="1" applyAlignment="1" applyProtection="1">
      <alignment horizontal="left"/>
    </xf>
    <xf numFmtId="0" fontId="2" fillId="0" borderId="2" xfId="0" applyFont="1" applyBorder="1" applyAlignment="1" applyProtection="1">
      <alignment horizontal="center" vertical="top"/>
    </xf>
    <xf numFmtId="0" fontId="2" fillId="0" borderId="0" xfId="0" applyFont="1" applyBorder="1" applyAlignment="1" applyProtection="1">
      <alignment horizontal="right" vertical="top"/>
    </xf>
    <xf numFmtId="0" fontId="4" fillId="0" borderId="0" xfId="0" applyNumberFormat="1" applyFont="1" applyFill="1" applyBorder="1" applyAlignment="1" applyProtection="1">
      <alignment horizontal="right"/>
    </xf>
    <xf numFmtId="0" fontId="2" fillId="0" borderId="0" xfId="0" applyFont="1" applyAlignment="1" applyProtection="1">
      <alignment vertical="top" wrapText="1"/>
    </xf>
    <xf numFmtId="2" fontId="2" fillId="0" borderId="0" xfId="0" applyNumberFormat="1" applyFont="1" applyFill="1" applyProtection="1">
      <alignment vertical="top" wrapText="1"/>
    </xf>
    <xf numFmtId="0" fontId="2" fillId="0" borderId="0" xfId="0" applyFont="1" applyFill="1" applyAlignment="1" applyProtection="1">
      <alignment vertical="top"/>
    </xf>
    <xf numFmtId="2" fontId="2" fillId="0" borderId="0" xfId="0" applyNumberFormat="1" applyFont="1" applyFill="1" applyAlignment="1" applyProtection="1">
      <alignment vertical="top"/>
    </xf>
    <xf numFmtId="0" fontId="2" fillId="0" borderId="0" xfId="0" applyFont="1" applyFill="1" applyAlignment="1" applyProtection="1">
      <alignment horizontal="right" vertical="top" wrapText="1"/>
    </xf>
    <xf numFmtId="0" fontId="2" fillId="0" borderId="0" xfId="0" applyFont="1" applyFill="1" applyAlignment="1" applyProtection="1"/>
    <xf numFmtId="0" fontId="2" fillId="0" borderId="0" xfId="0" applyFont="1" applyFill="1" applyProtection="1">
      <alignment vertical="top" wrapText="1"/>
    </xf>
    <xf numFmtId="0" fontId="2" fillId="0" borderId="0" xfId="0" applyFont="1" applyAlignment="1" applyProtection="1">
      <alignment horizontal="right" vertical="center"/>
    </xf>
    <xf numFmtId="0" fontId="2" fillId="0" borderId="0" xfId="0" applyFont="1" applyAlignment="1" applyProtection="1">
      <alignment horizontal="left" vertical="center" wrapText="1"/>
    </xf>
    <xf numFmtId="0" fontId="2" fillId="0" borderId="0" xfId="0" applyFont="1" applyAlignment="1" applyProtection="1">
      <alignment vertical="center" wrapText="1"/>
    </xf>
    <xf numFmtId="0" fontId="2" fillId="0" borderId="0" xfId="0" applyFont="1" applyAlignment="1" applyProtection="1">
      <alignment horizontal="right" vertical="center" wrapText="1"/>
    </xf>
    <xf numFmtId="0" fontId="2" fillId="0" borderId="0" xfId="0" applyFont="1" applyAlignment="1" applyProtection="1">
      <alignment vertical="center"/>
    </xf>
    <xf numFmtId="0" fontId="2" fillId="0" borderId="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Alignment="1" applyProtection="1"/>
    <xf numFmtId="2" fontId="2" fillId="0" borderId="0" xfId="0" applyNumberFormat="1" applyFont="1" applyProtection="1">
      <alignment vertical="top" wrapText="1"/>
    </xf>
    <xf numFmtId="0" fontId="5" fillId="0" borderId="0" xfId="0" applyFont="1" applyAlignment="1" applyProtection="1">
      <alignment vertical="top"/>
    </xf>
    <xf numFmtId="0" fontId="2" fillId="0" borderId="0" xfId="0" applyFont="1" applyBorder="1" applyAlignment="1" applyProtection="1">
      <alignment horizontal="center" vertical="top"/>
    </xf>
    <xf numFmtId="2" fontId="2" fillId="2" borderId="2" xfId="0" applyNumberFormat="1" applyFont="1" applyFill="1" applyBorder="1" applyAlignment="1" applyProtection="1">
      <alignment vertical="top"/>
    </xf>
    <xf numFmtId="0" fontId="2" fillId="0" borderId="0" xfId="0" applyFont="1" applyAlignment="1" applyProtection="1">
      <alignment horizontal="left" vertical="top"/>
    </xf>
    <xf numFmtId="0" fontId="2" fillId="0" borderId="0" xfId="0" applyFont="1" applyAlignment="1" applyProtection="1">
      <alignment horizontal="left" vertical="top" wrapText="1"/>
    </xf>
    <xf numFmtId="0" fontId="2" fillId="0" borderId="0" xfId="0" applyFont="1" applyAlignment="1" applyProtection="1">
      <alignment horizontal="center" vertical="center"/>
    </xf>
    <xf numFmtId="0" fontId="2" fillId="0" borderId="2" xfId="0" applyFont="1" applyBorder="1" applyAlignment="1" applyProtection="1">
      <alignment horizontal="center" vertical="top" wrapText="1"/>
    </xf>
    <xf numFmtId="2" fontId="2" fillId="0" borderId="2" xfId="0" applyNumberFormat="1" applyFont="1" applyBorder="1" applyAlignment="1" applyProtection="1">
      <alignment horizontal="center" vertical="top" wrapText="1"/>
    </xf>
    <xf numFmtId="0" fontId="2" fillId="0" borderId="2"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xf>
    <xf numFmtId="2" fontId="2" fillId="0" borderId="2" xfId="0" applyNumberFormat="1" applyFont="1" applyBorder="1" applyAlignment="1" applyProtection="1">
      <alignment horizontal="center" vertical="top"/>
    </xf>
    <xf numFmtId="0" fontId="2" fillId="0" borderId="2" xfId="0" applyFont="1" applyBorder="1" applyAlignment="1" applyProtection="1">
      <alignment vertical="top"/>
    </xf>
    <xf numFmtId="2" fontId="2" fillId="0" borderId="0" xfId="0" applyNumberFormat="1" applyFont="1" applyBorder="1" applyProtection="1">
      <alignment vertical="top" wrapText="1"/>
    </xf>
    <xf numFmtId="2" fontId="2" fillId="0" borderId="2" xfId="0" applyNumberFormat="1" applyFont="1" applyFill="1" applyBorder="1" applyAlignment="1" applyProtection="1">
      <alignment horizontal="center"/>
    </xf>
    <xf numFmtId="2" fontId="2" fillId="0" borderId="0" xfId="0" applyNumberFormat="1" applyFont="1" applyAlignment="1" applyProtection="1">
      <alignment vertical="top"/>
    </xf>
    <xf numFmtId="2" fontId="2" fillId="0" borderId="2" xfId="0" applyNumberFormat="1" applyFont="1" applyBorder="1" applyAlignment="1" applyProtection="1">
      <alignment horizontal="center" vertical="center"/>
    </xf>
    <xf numFmtId="0" fontId="2" fillId="0" borderId="0" xfId="0" applyFont="1" applyBorder="1" applyAlignment="1" applyProtection="1">
      <alignment horizontal="left" vertical="center"/>
    </xf>
    <xf numFmtId="164" fontId="2" fillId="0" borderId="2" xfId="0" applyNumberFormat="1" applyFont="1" applyBorder="1" applyAlignment="1" applyProtection="1">
      <alignment horizontal="left" vertical="center"/>
    </xf>
    <xf numFmtId="0" fontId="2" fillId="0" borderId="0" xfId="0" quotePrefix="1" applyFont="1" applyBorder="1" applyAlignment="1" applyProtection="1">
      <alignment vertical="top"/>
    </xf>
    <xf numFmtId="2" fontId="2" fillId="0" borderId="0" xfId="0" applyNumberFormat="1" applyFont="1" applyBorder="1" applyAlignment="1" applyProtection="1">
      <alignment vertical="top"/>
    </xf>
    <xf numFmtId="0" fontId="3" fillId="0" borderId="3" xfId="0" applyFont="1" applyBorder="1" applyAlignment="1" applyProtection="1">
      <alignment horizontal="center" vertical="center"/>
    </xf>
    <xf numFmtId="0" fontId="3" fillId="0" borderId="3" xfId="0" applyFont="1" applyBorder="1" applyAlignment="1" applyProtection="1">
      <alignment horizontal="center" vertical="top"/>
    </xf>
    <xf numFmtId="0" fontId="3" fillId="0" borderId="0" xfId="0" applyFont="1" applyProtection="1">
      <alignment vertical="top" wrapText="1"/>
    </xf>
    <xf numFmtId="166" fontId="2" fillId="0" borderId="2" xfId="0" applyNumberFormat="1" applyFont="1" applyBorder="1" applyAlignment="1" applyProtection="1">
      <alignment horizontal="center"/>
    </xf>
    <xf numFmtId="166" fontId="2" fillId="0" borderId="0" xfId="0" applyNumberFormat="1" applyFont="1" applyAlignment="1" applyProtection="1">
      <alignment horizontal="center"/>
    </xf>
    <xf numFmtId="166" fontId="2" fillId="0" borderId="0" xfId="0" applyNumberFormat="1" applyFont="1" applyBorder="1" applyAlignment="1" applyProtection="1">
      <alignment horizontal="center"/>
    </xf>
    <xf numFmtId="166" fontId="2" fillId="0" borderId="0" xfId="0" applyNumberFormat="1" applyFont="1" applyAlignment="1" applyProtection="1">
      <alignment horizontal="left"/>
    </xf>
    <xf numFmtId="0" fontId="8" fillId="0" borderId="0" xfId="0" applyFont="1" applyAlignment="1" applyProtection="1">
      <alignment vertical="top"/>
    </xf>
    <xf numFmtId="1" fontId="3" fillId="0" borderId="0" xfId="0" applyNumberFormat="1" applyFont="1" applyFill="1" applyAlignment="1" applyProtection="1">
      <alignment horizontal="center"/>
    </xf>
    <xf numFmtId="2" fontId="2" fillId="0" borderId="0" xfId="0" applyNumberFormat="1" applyFont="1" applyAlignment="1" applyProtection="1">
      <alignment horizontal="center"/>
    </xf>
    <xf numFmtId="0" fontId="2" fillId="0" borderId="0" xfId="0" applyFont="1" applyAlignment="1" applyProtection="1">
      <alignment horizontal="center"/>
    </xf>
    <xf numFmtId="2" fontId="2" fillId="0" borderId="2" xfId="0" applyNumberFormat="1" applyFont="1" applyFill="1" applyBorder="1" applyAlignment="1" applyProtection="1">
      <alignment horizontal="center" vertical="center"/>
    </xf>
    <xf numFmtId="0" fontId="2" fillId="0" borderId="0" xfId="0" applyFont="1" applyFill="1" applyAlignment="1" applyProtection="1">
      <alignment horizontal="right" vertical="top"/>
    </xf>
    <xf numFmtId="0" fontId="5" fillId="0" borderId="0" xfId="0" applyFont="1" applyAlignment="1" applyProtection="1">
      <alignment horizontal="center" vertical="top"/>
    </xf>
    <xf numFmtId="2" fontId="2" fillId="0" borderId="0" xfId="0" applyNumberFormat="1" applyFont="1" applyFill="1" applyAlignment="1" applyProtection="1">
      <alignment horizontal="center" vertical="top" wrapText="1"/>
    </xf>
    <xf numFmtId="0" fontId="2" fillId="0" borderId="2" xfId="0" applyFont="1" applyFill="1" applyBorder="1" applyAlignment="1" applyProtection="1">
      <alignment horizontal="center" vertical="center"/>
    </xf>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2" fillId="0" borderId="4" xfId="0" applyNumberFormat="1" applyFont="1" applyFill="1" applyBorder="1" applyAlignment="1" applyProtection="1"/>
    <xf numFmtId="0" fontId="2" fillId="0" borderId="4" xfId="0" applyFont="1" applyBorder="1" applyAlignment="1" applyProtection="1">
      <alignment vertical="top"/>
    </xf>
    <xf numFmtId="0" fontId="9" fillId="0" borderId="4" xfId="0" applyFont="1" applyFill="1" applyBorder="1" applyAlignment="1" applyProtection="1">
      <alignment horizontal="left"/>
    </xf>
    <xf numFmtId="0" fontId="9" fillId="0" borderId="0" xfId="0" applyFont="1" applyFill="1" applyBorder="1" applyAlignment="1" applyProtection="1">
      <alignment horizontal="left"/>
    </xf>
    <xf numFmtId="2" fontId="2" fillId="0" borderId="0" xfId="0" applyNumberFormat="1" applyFont="1" applyFill="1" applyBorder="1" applyAlignment="1" applyProtection="1">
      <alignment horizontal="center" vertical="center"/>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Protection="1">
      <alignment vertical="top" wrapText="1"/>
    </xf>
    <xf numFmtId="2" fontId="4" fillId="0" borderId="0" xfId="0" applyNumberFormat="1" applyFont="1" applyBorder="1" applyAlignment="1" applyProtection="1">
      <alignment horizontal="center" vertical="top"/>
    </xf>
    <xf numFmtId="2" fontId="2" fillId="0" borderId="2" xfId="0" applyNumberFormat="1" applyFont="1" applyFill="1" applyBorder="1" applyAlignment="1" applyProtection="1">
      <alignment vertical="top"/>
    </xf>
    <xf numFmtId="0" fontId="3" fillId="0" borderId="0" xfId="0" applyFont="1" applyBorder="1" applyAlignment="1" applyProtection="1">
      <alignment horizontal="center" vertical="top"/>
    </xf>
    <xf numFmtId="0" fontId="2" fillId="0" borderId="0" xfId="0" quotePrefix="1" applyFont="1" applyAlignment="1" applyProtection="1">
      <alignment horizontal="right"/>
    </xf>
    <xf numFmtId="2" fontId="2" fillId="0" borderId="0" xfId="0" applyNumberFormat="1" applyFont="1" applyFill="1" applyAlignment="1" applyProtection="1">
      <alignment horizontal="center"/>
    </xf>
    <xf numFmtId="10" fontId="3" fillId="0" borderId="0" xfId="0" applyNumberFormat="1" applyFont="1" applyBorder="1" applyAlignment="1" applyProtection="1">
      <alignment horizontal="center" vertical="top" wrapText="1"/>
    </xf>
    <xf numFmtId="164" fontId="2" fillId="0" borderId="2" xfId="0" applyNumberFormat="1" applyFont="1" applyBorder="1" applyAlignment="1" applyProtection="1">
      <alignment horizontal="center" vertical="center"/>
    </xf>
    <xf numFmtId="164" fontId="2" fillId="0" borderId="0" xfId="0" applyNumberFormat="1" applyFont="1" applyBorder="1" applyAlignment="1" applyProtection="1">
      <alignment horizontal="left" vertical="center"/>
    </xf>
    <xf numFmtId="0" fontId="3" fillId="0" borderId="0" xfId="0" applyFont="1" applyBorder="1" applyAlignment="1" applyProtection="1">
      <alignment vertical="top"/>
    </xf>
    <xf numFmtId="2" fontId="3" fillId="0" borderId="0" xfId="0" applyNumberFormat="1" applyFont="1" applyFill="1" applyAlignment="1" applyProtection="1">
      <alignment horizontal="center"/>
    </xf>
    <xf numFmtId="166" fontId="2" fillId="0" borderId="0" xfId="0" applyNumberFormat="1" applyFont="1" applyAlignment="1" applyProtection="1">
      <alignment horizontal="right"/>
    </xf>
    <xf numFmtId="166" fontId="2" fillId="0" borderId="0" xfId="0" applyNumberFormat="1" applyFont="1" applyAlignment="1" applyProtection="1">
      <alignment horizontal="left" vertical="center"/>
    </xf>
    <xf numFmtId="0" fontId="3" fillId="0" borderId="3" xfId="0" applyFont="1" applyBorder="1" applyAlignment="1" applyProtection="1">
      <alignment horizontal="center"/>
    </xf>
    <xf numFmtId="167" fontId="2" fillId="0" borderId="0" xfId="0" applyNumberFormat="1" applyFont="1" applyBorder="1" applyAlignment="1" applyProtection="1">
      <alignment horizontal="center"/>
    </xf>
    <xf numFmtId="164"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0" fillId="0" borderId="0" xfId="0" applyFill="1" applyAlignment="1"/>
    <xf numFmtId="0" fontId="15" fillId="0" borderId="0" xfId="0" applyFont="1" applyFill="1" applyAlignment="1">
      <alignment horizontal="center"/>
    </xf>
    <xf numFmtId="0" fontId="15" fillId="0" borderId="0" xfId="0" applyFont="1" applyFill="1" applyAlignment="1"/>
    <xf numFmtId="0" fontId="15" fillId="0" borderId="0" xfId="0" applyFont="1" applyFill="1" applyAlignment="1">
      <alignment horizontal="right"/>
    </xf>
    <xf numFmtId="0" fontId="15" fillId="0" borderId="0" xfId="0" applyFont="1" applyFill="1" applyAlignment="1">
      <alignment horizontal="right" vertical="top"/>
    </xf>
    <xf numFmtId="0" fontId="15" fillId="0" borderId="0" xfId="0" applyFont="1" applyFill="1" applyAlignment="1">
      <alignment vertical="top" wrapText="1"/>
    </xf>
    <xf numFmtId="0" fontId="15" fillId="0" borderId="0" xfId="0" quotePrefix="1" applyFont="1" applyFill="1" applyAlignment="1">
      <alignment horizontal="left" vertical="top"/>
    </xf>
    <xf numFmtId="0" fontId="15" fillId="0" borderId="0" xfId="0" applyFont="1" applyFill="1" applyAlignment="1">
      <alignment vertical="top"/>
    </xf>
    <xf numFmtId="2" fontId="0" fillId="0" borderId="0" xfId="0" quotePrefix="1" applyNumberFormat="1" applyFill="1" applyBorder="1" applyAlignment="1">
      <alignment horizont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2" fontId="0" fillId="0" borderId="0" xfId="0" applyNumberFormat="1" applyFill="1" applyBorder="1" applyAlignment="1">
      <alignment horizontal="center"/>
    </xf>
    <xf numFmtId="166" fontId="16" fillId="0" borderId="7" xfId="0" applyNumberFormat="1" applyFont="1" applyFill="1" applyBorder="1" applyAlignment="1">
      <alignment horizontal="center" vertical="center" wrapText="1"/>
    </xf>
    <xf numFmtId="14" fontId="16" fillId="0" borderId="8" xfId="0" applyNumberFormat="1" applyFont="1" applyFill="1" applyBorder="1" applyAlignment="1">
      <alignment horizontal="center" vertical="center" wrapText="1"/>
    </xf>
    <xf numFmtId="0" fontId="16" fillId="0" borderId="8" xfId="0" applyFont="1" applyFill="1" applyBorder="1" applyAlignment="1">
      <alignment horizontal="left" vertical="center" wrapText="1"/>
    </xf>
    <xf numFmtId="166" fontId="0" fillId="0" borderId="9" xfId="0" applyNumberFormat="1"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2" xfId="0" applyFill="1" applyBorder="1" applyAlignment="1">
      <alignment horizontal="left" vertical="top" wrapText="1"/>
    </xf>
    <xf numFmtId="166" fontId="0" fillId="0" borderId="10" xfId="0" applyNumberFormat="1" applyFill="1" applyBorder="1" applyAlignment="1">
      <alignment horizontal="center" vertical="center" wrapText="1"/>
    </xf>
    <xf numFmtId="14" fontId="0" fillId="0" borderId="11" xfId="0" applyNumberFormat="1" applyFill="1" applyBorder="1" applyAlignment="1">
      <alignment horizontal="center" vertical="center" wrapText="1"/>
    </xf>
    <xf numFmtId="0" fontId="0" fillId="0" borderId="11" xfId="0" applyFill="1" applyBorder="1" applyAlignment="1">
      <alignment horizontal="left" vertical="top" wrapText="1"/>
    </xf>
    <xf numFmtId="0" fontId="17" fillId="0" borderId="0" xfId="0" applyFont="1" applyAlignment="1"/>
    <xf numFmtId="0" fontId="0" fillId="0" borderId="0" xfId="0" applyAlignment="1"/>
    <xf numFmtId="0" fontId="2" fillId="0" borderId="0" xfId="0" applyFont="1" applyAlignment="1">
      <alignment horizontal="right" vertical="center"/>
    </xf>
    <xf numFmtId="0" fontId="0" fillId="0" borderId="0" xfId="0" applyAlignment="1">
      <alignment vertical="center"/>
    </xf>
    <xf numFmtId="2" fontId="31" fillId="3" borderId="2" xfId="0" applyNumberFormat="1" applyFont="1" applyFill="1" applyBorder="1" applyAlignment="1">
      <alignment horizontal="center" vertical="center"/>
    </xf>
    <xf numFmtId="169" fontId="31" fillId="3" borderId="2" xfId="0" applyNumberFormat="1" applyFont="1" applyFill="1" applyBorder="1" applyAlignment="1">
      <alignment horizontal="center" vertical="center"/>
    </xf>
    <xf numFmtId="0" fontId="0" fillId="0" borderId="0" xfId="0" applyBorder="1" applyAlignment="1"/>
    <xf numFmtId="0" fontId="2" fillId="0" borderId="0" xfId="0" applyFont="1" applyAlignment="1"/>
    <xf numFmtId="0" fontId="2" fillId="0" borderId="0" xfId="0" applyFont="1">
      <alignment vertical="top" wrapText="1"/>
    </xf>
    <xf numFmtId="0" fontId="3" fillId="0" borderId="0" xfId="0" applyFont="1" applyFill="1" applyBorder="1" applyAlignment="1">
      <alignment horizontal="left"/>
    </xf>
    <xf numFmtId="0" fontId="2" fillId="0" borderId="0" xfId="0" quotePrefix="1" applyFont="1" applyAlignment="1"/>
    <xf numFmtId="2" fontId="2" fillId="0" borderId="0" xfId="0" applyNumberFormat="1" applyFont="1" applyFill="1" applyBorder="1" applyAlignment="1" applyProtection="1">
      <alignment horizontal="center"/>
      <protection locked="0"/>
    </xf>
    <xf numFmtId="0" fontId="2" fillId="0" borderId="9" xfId="0" applyFont="1" applyBorder="1" applyAlignment="1">
      <alignment horizontal="center" vertical="center"/>
    </xf>
    <xf numFmtId="0" fontId="2" fillId="0" borderId="12" xfId="0" applyFont="1" applyBorder="1" applyAlignment="1">
      <alignment horizontal="center"/>
    </xf>
    <xf numFmtId="2" fontId="32" fillId="3" borderId="13" xfId="0" applyNumberFormat="1" applyFont="1" applyFill="1" applyBorder="1" applyAlignment="1">
      <alignment horizontal="center" vertical="center"/>
    </xf>
    <xf numFmtId="2" fontId="32" fillId="3" borderId="14" xfId="0" applyNumberFormat="1" applyFont="1" applyFill="1" applyBorder="1" applyAlignment="1">
      <alignment horizontal="center" vertical="center"/>
    </xf>
    <xf numFmtId="2" fontId="32" fillId="3" borderId="2" xfId="0" applyNumberFormat="1" applyFont="1" applyFill="1" applyBorder="1" applyAlignment="1">
      <alignment horizontal="center" vertical="center"/>
    </xf>
    <xf numFmtId="2" fontId="32" fillId="3" borderId="9" xfId="0" applyNumberFormat="1" applyFont="1" applyFill="1" applyBorder="1" applyAlignment="1">
      <alignment horizontal="center" vertical="center"/>
    </xf>
    <xf numFmtId="0" fontId="2" fillId="0" borderId="15" xfId="0" applyFont="1" applyBorder="1" applyAlignment="1">
      <alignment horizont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 xfId="0" applyFont="1" applyBorder="1" applyAlignment="1">
      <alignment horizontal="center"/>
    </xf>
    <xf numFmtId="0" fontId="3" fillId="0" borderId="2" xfId="0" applyFont="1" applyBorder="1" applyAlignment="1">
      <alignment horizontal="center"/>
    </xf>
    <xf numFmtId="0" fontId="2" fillId="0" borderId="0" xfId="0" applyFont="1" applyBorder="1" applyAlignment="1">
      <alignment horizontal="center"/>
    </xf>
    <xf numFmtId="0" fontId="3" fillId="0" borderId="0" xfId="0" applyFont="1" applyAlignment="1"/>
    <xf numFmtId="0" fontId="2" fillId="0" borderId="0" xfId="0" applyFont="1" applyAlignment="1">
      <alignment horizontal="right" vertical="top"/>
    </xf>
    <xf numFmtId="0" fontId="2" fillId="0" borderId="0" xfId="0" applyFont="1" applyAlignment="1">
      <alignment horizontal="center"/>
    </xf>
    <xf numFmtId="0" fontId="2" fillId="0" borderId="2" xfId="1" applyFont="1" applyBorder="1" applyAlignment="1">
      <alignment horizontal="center"/>
    </xf>
    <xf numFmtId="0" fontId="3" fillId="0" borderId="2" xfId="1" applyFont="1" applyBorder="1" applyAlignment="1">
      <alignment horizontal="center" vertical="center" wrapText="1"/>
    </xf>
    <xf numFmtId="0" fontId="3" fillId="0" borderId="2" xfId="1" applyFont="1" applyFill="1" applyBorder="1" applyAlignment="1">
      <alignment horizontal="center" vertical="center" wrapText="1"/>
    </xf>
    <xf numFmtId="0" fontId="2" fillId="0" borderId="2" xfId="1" applyFont="1" applyBorder="1" applyAlignment="1">
      <alignment horizontal="center" vertical="center"/>
    </xf>
    <xf numFmtId="0" fontId="2" fillId="0" borderId="2" xfId="1" applyFont="1" applyBorder="1" applyAlignment="1">
      <alignment horizontal="center" vertical="center" wrapText="1"/>
    </xf>
    <xf numFmtId="0" fontId="2" fillId="0" borderId="2" xfId="0" applyFont="1" applyBorder="1" applyAlignment="1">
      <alignment horizontal="center" vertical="top" wrapText="1"/>
    </xf>
    <xf numFmtId="2" fontId="32" fillId="3" borderId="10" xfId="0" applyNumberFormat="1" applyFont="1" applyFill="1" applyBorder="1" applyAlignment="1">
      <alignment horizontal="center" vertical="center"/>
    </xf>
    <xf numFmtId="0" fontId="2" fillId="0" borderId="0" xfId="0" applyFont="1" applyAlignment="1">
      <alignment vertical="top"/>
    </xf>
    <xf numFmtId="0" fontId="13" fillId="0" borderId="0" xfId="0" applyFont="1" applyAlignment="1">
      <alignment vertical="top"/>
    </xf>
    <xf numFmtId="0" fontId="2" fillId="0" borderId="19" xfId="0" applyFont="1" applyBorder="1" applyAlignment="1">
      <alignment vertical="top"/>
    </xf>
    <xf numFmtId="0" fontId="2" fillId="0" borderId="20" xfId="0" applyFont="1" applyBorder="1" applyAlignment="1">
      <alignment horizontal="center" vertical="top"/>
    </xf>
    <xf numFmtId="0" fontId="2" fillId="0" borderId="21" xfId="0" applyFont="1" applyBorder="1" applyAlignment="1">
      <alignment vertical="top"/>
    </xf>
    <xf numFmtId="0" fontId="7" fillId="0" borderId="0" xfId="0" applyFont="1" applyAlignment="1">
      <alignment vertical="top"/>
    </xf>
    <xf numFmtId="165" fontId="32" fillId="3" borderId="2" xfId="0" applyNumberFormat="1" applyFont="1" applyFill="1" applyBorder="1" applyAlignment="1">
      <alignment horizontal="center" vertical="center"/>
    </xf>
    <xf numFmtId="1" fontId="32" fillId="3" borderId="2" xfId="0" applyNumberFormat="1" applyFont="1" applyFill="1" applyBorder="1" applyAlignment="1">
      <alignment horizontal="center" vertical="center"/>
    </xf>
    <xf numFmtId="0" fontId="3" fillId="0" borderId="18" xfId="0" applyFont="1" applyBorder="1" applyAlignment="1">
      <alignment horizontal="center"/>
    </xf>
    <xf numFmtId="0" fontId="2" fillId="0" borderId="18" xfId="0" applyFont="1" applyBorder="1" applyAlignment="1">
      <alignment horizontal="center"/>
    </xf>
    <xf numFmtId="0" fontId="3" fillId="0" borderId="2" xfId="0" applyFont="1" applyBorder="1" applyAlignment="1">
      <alignment vertical="top"/>
    </xf>
    <xf numFmtId="0" fontId="2" fillId="0" borderId="0" xfId="0" applyFont="1" applyAlignment="1">
      <alignment vertical="center"/>
    </xf>
    <xf numFmtId="0" fontId="21" fillId="0" borderId="0" xfId="0" applyFont="1" applyAlignment="1"/>
    <xf numFmtId="0" fontId="3" fillId="0" borderId="2" xfId="0" applyFont="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3" fillId="0" borderId="0" xfId="0" applyFont="1" applyBorder="1" applyAlignment="1">
      <alignment vertical="center" wrapText="1"/>
    </xf>
    <xf numFmtId="0" fontId="2" fillId="0" borderId="4" xfId="0" applyFont="1" applyBorder="1" applyAlignment="1">
      <alignment vertical="center"/>
    </xf>
    <xf numFmtId="1" fontId="2" fillId="0" borderId="2" xfId="0" applyNumberFormat="1" applyFont="1" applyFill="1" applyBorder="1" applyAlignment="1">
      <alignment horizontal="center" vertical="center"/>
    </xf>
    <xf numFmtId="0" fontId="22" fillId="0" borderId="0" xfId="1" applyFont="1"/>
    <xf numFmtId="0" fontId="2" fillId="0" borderId="0" xfId="0" applyFont="1" applyAlignment="1">
      <alignment horizontal="center" vertical="center"/>
    </xf>
    <xf numFmtId="0" fontId="2" fillId="0" borderId="0" xfId="1"/>
    <xf numFmtId="0" fontId="17" fillId="0" borderId="0" xfId="1" applyFont="1"/>
    <xf numFmtId="0" fontId="2" fillId="0" borderId="0" xfId="1" applyFont="1" applyAlignment="1">
      <alignment horizontal="right" vertical="center"/>
    </xf>
    <xf numFmtId="0" fontId="2" fillId="0" borderId="0" xfId="1" applyAlignment="1">
      <alignment horizontal="righ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wrapText="1"/>
    </xf>
    <xf numFmtId="0" fontId="2" fillId="0" borderId="24" xfId="0" applyFont="1" applyBorder="1" applyAlignment="1">
      <alignment horizontal="center" vertical="center"/>
    </xf>
    <xf numFmtId="0" fontId="2" fillId="0" borderId="2" xfId="0" applyFont="1" applyBorder="1" applyAlignment="1">
      <alignment horizontal="center" vertical="center" wrapText="1"/>
    </xf>
    <xf numFmtId="0" fontId="2" fillId="0" borderId="18" xfId="0" applyFont="1" applyBorder="1" applyAlignment="1">
      <alignment horizontal="center" wrapText="1"/>
    </xf>
    <xf numFmtId="0" fontId="2" fillId="0" borderId="18" xfId="0" applyFont="1" applyBorder="1" applyAlignment="1">
      <alignment horizontal="center" vertical="center" wrapText="1"/>
    </xf>
    <xf numFmtId="166" fontId="2" fillId="0" borderId="18" xfId="0" applyNumberFormat="1" applyFont="1" applyFill="1" applyBorder="1" applyAlignment="1">
      <alignment horizontal="center" vertical="center"/>
    </xf>
    <xf numFmtId="0" fontId="2" fillId="0" borderId="2" xfId="0" applyFont="1" applyBorder="1" applyAlignment="1">
      <alignment horizontal="center" wrapText="1"/>
    </xf>
    <xf numFmtId="0" fontId="2" fillId="0" borderId="2" xfId="0" applyFont="1" applyBorder="1" applyAlignment="1">
      <alignment horizontal="center" vertical="top"/>
    </xf>
    <xf numFmtId="2" fontId="32" fillId="3" borderId="2" xfId="0" applyNumberFormat="1" applyFont="1" applyFill="1" applyBorder="1" applyAlignment="1">
      <alignment horizontal="center" vertical="center" wrapText="1"/>
    </xf>
    <xf numFmtId="0" fontId="2" fillId="0" borderId="0" xfId="0" applyFont="1" applyBorder="1" applyAlignment="1">
      <alignment horizontal="center" vertical="top"/>
    </xf>
    <xf numFmtId="0" fontId="2" fillId="0" borderId="18" xfId="0" applyFont="1" applyBorder="1" applyAlignment="1">
      <alignment horizontal="center" vertical="top"/>
    </xf>
    <xf numFmtId="0" fontId="3" fillId="0" borderId="18" xfId="0" applyFont="1" applyBorder="1" applyAlignment="1">
      <alignment horizontal="center" vertical="center" wrapText="1"/>
    </xf>
    <xf numFmtId="0" fontId="2" fillId="0" borderId="2" xfId="0" applyFont="1" applyBorder="1" applyAlignment="1">
      <alignment vertical="top"/>
    </xf>
    <xf numFmtId="164" fontId="2" fillId="0" borderId="2" xfId="0" applyNumberFormat="1" applyFont="1" applyBorder="1" applyAlignment="1">
      <alignment horizontal="center" vertical="top"/>
    </xf>
    <xf numFmtId="164" fontId="2"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0" fontId="15" fillId="0" borderId="0" xfId="1" quotePrefix="1" applyFont="1" applyFill="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2" fontId="2" fillId="0" borderId="2" xfId="0" applyNumberFormat="1" applyFont="1" applyFill="1" applyBorder="1" applyAlignment="1" applyProtection="1">
      <alignment horizontal="center"/>
      <protection locked="0"/>
    </xf>
    <xf numFmtId="165" fontId="2" fillId="0" borderId="2" xfId="0" applyNumberFormat="1" applyFont="1" applyFill="1" applyBorder="1" applyAlignment="1" applyProtection="1">
      <alignment horizontal="center"/>
      <protection locked="0"/>
    </xf>
    <xf numFmtId="2" fontId="2" fillId="0" borderId="8" xfId="0" applyNumberFormat="1" applyFont="1" applyFill="1" applyBorder="1" applyAlignment="1" applyProtection="1">
      <alignment horizontal="center" vertical="top" wrapText="1"/>
    </xf>
    <xf numFmtId="2" fontId="2" fillId="0" borderId="25" xfId="0" applyNumberFormat="1" applyFont="1" applyBorder="1" applyAlignment="1" applyProtection="1">
      <alignment horizontal="center" vertical="top" wrapText="1"/>
    </xf>
    <xf numFmtId="2" fontId="2" fillId="0" borderId="9" xfId="0" applyNumberFormat="1" applyFont="1" applyBorder="1" applyAlignment="1" applyProtection="1">
      <alignment horizontal="center" vertical="top" wrapText="1"/>
    </xf>
    <xf numFmtId="2" fontId="2" fillId="0" borderId="10" xfId="0" applyNumberFormat="1" applyFont="1" applyBorder="1" applyAlignment="1" applyProtection="1">
      <alignment horizontal="center" vertical="top" wrapText="1"/>
    </xf>
    <xf numFmtId="2" fontId="2" fillId="0" borderId="16" xfId="0" applyNumberFormat="1" applyFont="1" applyBorder="1" applyAlignment="1" applyProtection="1">
      <alignment horizontal="center" vertical="top" wrapText="1"/>
    </xf>
    <xf numFmtId="2" fontId="2" fillId="0" borderId="9" xfId="0" applyNumberFormat="1" applyFont="1" applyFill="1" applyBorder="1" applyAlignment="1" applyProtection="1">
      <alignment horizontal="center" vertical="center"/>
    </xf>
    <xf numFmtId="2" fontId="2" fillId="0" borderId="2" xfId="0" applyNumberFormat="1" applyFont="1" applyFill="1" applyBorder="1" applyAlignment="1" applyProtection="1">
      <alignment horizontal="center" vertical="center"/>
      <protection locked="0"/>
    </xf>
    <xf numFmtId="2" fontId="2" fillId="0" borderId="0" xfId="0" applyNumberFormat="1" applyFont="1" applyFill="1" applyBorder="1" applyAlignment="1" applyProtection="1">
      <alignment vertical="top"/>
    </xf>
    <xf numFmtId="0" fontId="3" fillId="0" borderId="2" xfId="0" applyFont="1" applyBorder="1" applyAlignment="1">
      <alignment horizontal="center" vertical="top"/>
    </xf>
    <xf numFmtId="0" fontId="2" fillId="0" borderId="26" xfId="0" applyFont="1" applyBorder="1" applyAlignment="1">
      <alignment horizontal="center" vertical="center"/>
    </xf>
    <xf numFmtId="0" fontId="3" fillId="0" borderId="25" xfId="0" applyFont="1" applyBorder="1" applyAlignment="1">
      <alignment horizontal="center" vertical="top"/>
    </xf>
    <xf numFmtId="2" fontId="2" fillId="0" borderId="25" xfId="0" applyNumberFormat="1" applyFont="1" applyBorder="1" applyAlignment="1">
      <alignment horizontal="center" vertical="center"/>
    </xf>
    <xf numFmtId="0" fontId="2" fillId="0" borderId="27" xfId="0" applyFont="1" applyBorder="1" applyAlignment="1">
      <alignment horizontal="center" vertical="center"/>
    </xf>
    <xf numFmtId="0" fontId="3" fillId="0" borderId="27" xfId="0" applyFont="1" applyBorder="1" applyAlignment="1">
      <alignment horizontal="left" vertical="top"/>
    </xf>
    <xf numFmtId="0" fontId="2" fillId="0" borderId="10" xfId="0" applyFont="1" applyBorder="1" applyAlignment="1" applyProtection="1">
      <alignment horizontal="center" vertical="top"/>
    </xf>
    <xf numFmtId="0" fontId="3" fillId="0" borderId="2" xfId="0" applyFont="1" applyBorder="1" applyAlignment="1">
      <alignment horizontal="center" vertical="top" wrapText="1"/>
    </xf>
    <xf numFmtId="1" fontId="2" fillId="0" borderId="2" xfId="0" applyNumberFormat="1" applyFont="1" applyBorder="1" applyAlignment="1" applyProtection="1">
      <alignment horizontal="center" vertical="center"/>
    </xf>
    <xf numFmtId="0" fontId="2" fillId="0" borderId="0" xfId="0" applyFont="1" applyAlignment="1">
      <alignment horizontal="right" vertical="center" wrapText="1"/>
    </xf>
    <xf numFmtId="2" fontId="2" fillId="0" borderId="2" xfId="0" applyNumberFormat="1" applyFont="1" applyBorder="1" applyAlignment="1">
      <alignment horizontal="center" vertical="top" wrapText="1"/>
    </xf>
    <xf numFmtId="2" fontId="2" fillId="0" borderId="2" xfId="0" applyNumberFormat="1" applyFont="1" applyBorder="1" applyAlignment="1">
      <alignment horizontal="center" vertical="center" wrapText="1"/>
    </xf>
    <xf numFmtId="0" fontId="2" fillId="0" borderId="0" xfId="0" applyFont="1" applyBorder="1" applyAlignment="1">
      <alignment horizontal="center" vertical="top" wrapText="1"/>
    </xf>
    <xf numFmtId="2" fontId="2" fillId="0" borderId="0" xfId="0" applyNumberFormat="1" applyFont="1" applyBorder="1" applyAlignment="1">
      <alignment horizontal="center" vertical="top" wrapText="1"/>
    </xf>
    <xf numFmtId="0" fontId="2" fillId="0" borderId="0" xfId="0" applyFont="1" applyBorder="1">
      <alignment vertical="top" wrapText="1"/>
    </xf>
    <xf numFmtId="2" fontId="2" fillId="0" borderId="0" xfId="0" applyNumberFormat="1" applyFont="1" applyBorder="1" applyAlignment="1">
      <alignment horizontal="center" vertical="center" wrapText="1"/>
    </xf>
    <xf numFmtId="2" fontId="2" fillId="0" borderId="10" xfId="0" applyNumberFormat="1" applyFont="1" applyFill="1" applyBorder="1" applyAlignment="1" applyProtection="1">
      <alignment horizontal="center" vertical="center"/>
    </xf>
    <xf numFmtId="2" fontId="2" fillId="0" borderId="28" xfId="0" applyNumberFormat="1" applyFont="1" applyBorder="1" applyAlignment="1">
      <alignment horizontal="center" vertical="center"/>
    </xf>
    <xf numFmtId="2" fontId="2" fillId="0" borderId="29" xfId="0" applyNumberFormat="1" applyFont="1" applyBorder="1" applyAlignment="1">
      <alignment horizontal="center" vertical="center"/>
    </xf>
    <xf numFmtId="0" fontId="3" fillId="0" borderId="18" xfId="0" applyFont="1" applyBorder="1" applyAlignment="1">
      <alignment horizontal="center" vertical="center"/>
    </xf>
    <xf numFmtId="0" fontId="2" fillId="0" borderId="18" xfId="0" applyFont="1" applyBorder="1" applyAlignment="1">
      <alignment horizontal="center" vertical="center"/>
    </xf>
    <xf numFmtId="2" fontId="2" fillId="0" borderId="24" xfId="0" applyNumberFormat="1" applyFont="1" applyBorder="1" applyAlignment="1">
      <alignment horizontal="center" vertical="center"/>
    </xf>
    <xf numFmtId="166" fontId="2" fillId="0" borderId="2"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top"/>
    </xf>
    <xf numFmtId="0" fontId="3" fillId="0" borderId="0" xfId="0" applyFont="1" applyAlignment="1" applyProtection="1">
      <alignment vertical="top" wrapText="1"/>
    </xf>
    <xf numFmtId="0" fontId="3" fillId="0" borderId="0" xfId="0" quotePrefix="1" applyFont="1" applyAlignment="1" applyProtection="1">
      <alignment vertical="top"/>
    </xf>
    <xf numFmtId="0" fontId="2" fillId="0" borderId="0" xfId="0" applyFont="1" applyBorder="1" applyAlignment="1" applyProtection="1">
      <alignment horizontal="right"/>
    </xf>
    <xf numFmtId="2" fontId="2" fillId="0" borderId="25" xfId="0" applyNumberFormat="1" applyFont="1" applyFill="1" applyBorder="1" applyAlignment="1">
      <alignment horizontal="center" vertical="center"/>
    </xf>
    <xf numFmtId="2" fontId="2" fillId="0" borderId="30" xfId="0" applyNumberFormat="1" applyFont="1" applyFill="1" applyBorder="1" applyAlignment="1">
      <alignment horizontal="center" vertical="center"/>
    </xf>
    <xf numFmtId="0" fontId="2" fillId="0" borderId="0" xfId="0" applyFont="1" applyBorder="1" applyAlignment="1" applyProtection="1">
      <alignment horizontal="center" vertical="top" wrapText="1"/>
    </xf>
    <xf numFmtId="0" fontId="3" fillId="0" borderId="2" xfId="0" applyFont="1" applyBorder="1" applyAlignment="1" applyProtection="1">
      <alignment horizontal="center" vertical="center" wrapText="1"/>
    </xf>
    <xf numFmtId="2" fontId="2" fillId="0" borderId="2" xfId="0" applyNumberFormat="1" applyFont="1" applyFill="1" applyBorder="1" applyAlignment="1">
      <alignment horizontal="center" vertical="center"/>
    </xf>
    <xf numFmtId="4" fontId="2" fillId="2" borderId="0" xfId="0" applyNumberFormat="1" applyFont="1" applyFill="1" applyBorder="1" applyAlignment="1" applyProtection="1">
      <alignment horizontal="center" vertical="top"/>
    </xf>
    <xf numFmtId="0" fontId="2" fillId="0" borderId="0" xfId="0" applyFont="1" applyAlignment="1" applyProtection="1">
      <alignment horizontal="left" wrapText="1"/>
    </xf>
    <xf numFmtId="0" fontId="3" fillId="0" borderId="2" xfId="0" applyFont="1" applyBorder="1" applyAlignment="1">
      <alignment horizontal="center" vertical="center"/>
    </xf>
    <xf numFmtId="0" fontId="2" fillId="0" borderId="31" xfId="0" applyFont="1" applyFill="1" applyBorder="1" applyAlignment="1" applyProtection="1">
      <alignment horizontal="center" vertical="top"/>
    </xf>
    <xf numFmtId="4" fontId="2" fillId="0" borderId="0" xfId="0" applyNumberFormat="1" applyFont="1" applyFill="1" applyBorder="1" applyAlignment="1" applyProtection="1">
      <alignment horizontal="center" vertical="top"/>
    </xf>
    <xf numFmtId="2" fontId="2" fillId="0" borderId="0" xfId="0" applyNumberFormat="1" applyFont="1" applyBorder="1" applyAlignment="1" applyProtection="1">
      <alignment horizontal="center" vertical="top"/>
    </xf>
    <xf numFmtId="2" fontId="2" fillId="0" borderId="13" xfId="0" applyNumberFormat="1" applyFont="1" applyFill="1" applyBorder="1" applyAlignment="1" applyProtection="1">
      <alignment vertical="top"/>
    </xf>
    <xf numFmtId="2" fontId="2" fillId="0" borderId="13" xfId="0" applyNumberFormat="1" applyFont="1" applyFill="1" applyBorder="1" applyAlignment="1" applyProtection="1">
      <alignment horizontal="center" vertical="top"/>
    </xf>
    <xf numFmtId="0" fontId="2" fillId="0" borderId="0" xfId="0" applyFont="1" applyFill="1" applyBorder="1" applyProtection="1">
      <alignment vertical="top" wrapText="1"/>
    </xf>
    <xf numFmtId="2" fontId="2" fillId="0" borderId="16" xfId="0" applyNumberFormat="1" applyFont="1" applyFill="1" applyBorder="1" applyAlignment="1" applyProtection="1">
      <alignment vertical="top"/>
    </xf>
    <xf numFmtId="2" fontId="2" fillId="0" borderId="14" xfId="0" applyNumberFormat="1" applyFont="1" applyFill="1" applyBorder="1" applyAlignment="1" applyProtection="1">
      <alignment vertical="top"/>
    </xf>
    <xf numFmtId="2" fontId="2" fillId="0" borderId="9" xfId="0" applyNumberFormat="1" applyFont="1" applyFill="1" applyBorder="1" applyAlignment="1" applyProtection="1">
      <alignment vertical="top"/>
    </xf>
    <xf numFmtId="2" fontId="2" fillId="0" borderId="25" xfId="0" applyNumberFormat="1" applyFont="1" applyFill="1" applyBorder="1" applyAlignment="1" applyProtection="1">
      <alignment vertical="top"/>
    </xf>
    <xf numFmtId="2" fontId="2" fillId="0" borderId="10" xfId="0" applyNumberFormat="1" applyFont="1" applyFill="1" applyBorder="1" applyAlignment="1" applyProtection="1">
      <alignment vertical="top"/>
    </xf>
    <xf numFmtId="2" fontId="2" fillId="0" borderId="11" xfId="0" applyNumberFormat="1" applyFont="1" applyFill="1" applyBorder="1" applyAlignment="1" applyProtection="1">
      <alignment vertical="top"/>
    </xf>
    <xf numFmtId="2" fontId="2" fillId="0" borderId="30" xfId="0" applyNumberFormat="1" applyFont="1" applyFill="1" applyBorder="1" applyAlignment="1" applyProtection="1">
      <alignment vertical="top"/>
    </xf>
    <xf numFmtId="0" fontId="3" fillId="0" borderId="0" xfId="0" applyFont="1" applyFill="1" applyAlignment="1" applyProtection="1">
      <alignment vertical="top"/>
    </xf>
    <xf numFmtId="2" fontId="2" fillId="0" borderId="2" xfId="0" applyNumberFormat="1" applyFont="1" applyFill="1" applyBorder="1" applyAlignment="1" applyProtection="1">
      <alignment horizontal="center" vertical="top"/>
    </xf>
    <xf numFmtId="0" fontId="3" fillId="0" borderId="0" xfId="0" applyFont="1" applyFill="1" applyBorder="1" applyAlignment="1" applyProtection="1">
      <alignment vertical="top"/>
    </xf>
    <xf numFmtId="0" fontId="2" fillId="0" borderId="0" xfId="0" applyFont="1" applyFill="1" applyBorder="1" applyAlignment="1" applyProtection="1">
      <alignment vertical="top"/>
    </xf>
    <xf numFmtId="0" fontId="2" fillId="0" borderId="0" xfId="0" applyFont="1" applyFill="1" applyBorder="1" applyAlignment="1" applyProtection="1">
      <alignment horizontal="center" vertical="top"/>
    </xf>
    <xf numFmtId="2" fontId="2" fillId="0" borderId="0" xfId="0" applyNumberFormat="1" applyFont="1" applyFill="1" applyBorder="1" applyAlignment="1" applyProtection="1">
      <alignment horizontal="center" vertical="top"/>
    </xf>
    <xf numFmtId="0" fontId="1" fillId="0" borderId="0" xfId="0" applyFont="1" applyFill="1" applyBorder="1" applyAlignment="1" applyProtection="1">
      <alignment vertical="top" wrapText="1"/>
    </xf>
    <xf numFmtId="0" fontId="2" fillId="0" borderId="0" xfId="0" applyFont="1" applyFill="1" applyBorder="1" applyAlignment="1" applyProtection="1">
      <alignment horizontal="right" vertical="top"/>
    </xf>
    <xf numFmtId="0" fontId="2" fillId="0" borderId="0" xfId="0" applyFont="1" applyFill="1" applyBorder="1" applyAlignment="1" applyProtection="1">
      <alignment horizontal="left" vertical="top" wrapText="1"/>
    </xf>
    <xf numFmtId="0" fontId="8" fillId="0" borderId="0" xfId="0" applyFont="1" applyFill="1" applyAlignment="1" applyProtection="1">
      <alignment vertical="top"/>
    </xf>
    <xf numFmtId="0" fontId="3" fillId="0" borderId="32" xfId="0" applyFont="1" applyFill="1" applyBorder="1" applyAlignment="1" applyProtection="1">
      <alignment horizontal="center" vertical="center"/>
    </xf>
    <xf numFmtId="0" fontId="3" fillId="0" borderId="16"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2" fillId="0" borderId="32" xfId="0" applyFont="1" applyFill="1" applyBorder="1" applyAlignment="1" applyProtection="1">
      <alignment vertical="top"/>
    </xf>
    <xf numFmtId="2" fontId="2" fillId="0" borderId="16" xfId="0" applyNumberFormat="1" applyFont="1" applyFill="1" applyBorder="1" applyAlignment="1" applyProtection="1">
      <alignment horizontal="center" vertical="top"/>
    </xf>
    <xf numFmtId="2" fontId="2" fillId="0" borderId="14" xfId="0" applyNumberFormat="1" applyFont="1" applyFill="1" applyBorder="1" applyAlignment="1" applyProtection="1">
      <alignment horizontal="center" vertical="top"/>
    </xf>
    <xf numFmtId="0" fontId="2" fillId="0" borderId="33" xfId="0" applyFont="1" applyFill="1" applyBorder="1" applyAlignment="1" applyProtection="1">
      <alignment vertical="top"/>
    </xf>
    <xf numFmtId="2" fontId="2" fillId="0" borderId="7" xfId="0" applyNumberFormat="1" applyFont="1" applyFill="1" applyBorder="1" applyAlignment="1" applyProtection="1">
      <alignment horizontal="center" vertical="top"/>
    </xf>
    <xf numFmtId="2" fontId="2" fillId="0" borderId="8" xfId="0" applyNumberFormat="1" applyFont="1" applyFill="1" applyBorder="1" applyAlignment="1" applyProtection="1">
      <alignment horizontal="center" vertical="top"/>
    </xf>
    <xf numFmtId="2" fontId="2" fillId="0" borderId="25" xfId="0" applyNumberFormat="1" applyFont="1" applyFill="1" applyBorder="1" applyAlignment="1" applyProtection="1">
      <alignment horizontal="center" vertical="top"/>
    </xf>
    <xf numFmtId="0" fontId="2" fillId="0" borderId="34" xfId="0" applyFont="1" applyFill="1" applyBorder="1" applyAlignment="1" applyProtection="1">
      <alignment vertical="top"/>
    </xf>
    <xf numFmtId="2" fontId="2" fillId="0" borderId="11" xfId="0" applyNumberFormat="1" applyFont="1" applyFill="1" applyBorder="1" applyAlignment="1" applyProtection="1">
      <alignment horizontal="center" vertical="top"/>
    </xf>
    <xf numFmtId="2" fontId="2" fillId="0" borderId="30" xfId="0" applyNumberFormat="1" applyFont="1" applyFill="1" applyBorder="1" applyAlignment="1" applyProtection="1">
      <alignment horizontal="center" vertical="top"/>
    </xf>
    <xf numFmtId="2" fontId="2" fillId="0" borderId="9" xfId="0" applyNumberFormat="1" applyFont="1" applyFill="1" applyBorder="1" applyAlignment="1" applyProtection="1">
      <alignment horizontal="center" vertical="top"/>
    </xf>
    <xf numFmtId="2" fontId="2" fillId="0" borderId="10" xfId="0" applyNumberFormat="1" applyFont="1" applyFill="1" applyBorder="1" applyAlignment="1" applyProtection="1">
      <alignment horizontal="center" vertical="top"/>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3" fillId="0" borderId="37" xfId="0" applyFont="1" applyFill="1" applyBorder="1" applyAlignment="1" applyProtection="1">
      <alignment horizontal="center" vertical="top" wrapText="1"/>
    </xf>
    <xf numFmtId="2" fontId="2" fillId="0" borderId="16" xfId="0" applyNumberFormat="1" applyFont="1" applyFill="1" applyBorder="1" applyAlignment="1" applyProtection="1">
      <alignment horizontal="center" vertical="center"/>
    </xf>
    <xf numFmtId="2" fontId="2" fillId="0" borderId="13" xfId="0" applyNumberFormat="1" applyFont="1" applyFill="1" applyBorder="1" applyAlignment="1" applyProtection="1">
      <alignment horizontal="center" vertical="center"/>
    </xf>
    <xf numFmtId="2" fontId="2" fillId="0" borderId="14" xfId="0" applyNumberFormat="1" applyFont="1" applyFill="1" applyBorder="1" applyAlignment="1" applyProtection="1">
      <alignment horizontal="center" vertical="center"/>
    </xf>
    <xf numFmtId="4" fontId="2" fillId="0" borderId="0" xfId="0" applyNumberFormat="1" applyFont="1" applyFill="1" applyBorder="1" applyAlignment="1" applyProtection="1">
      <alignment vertical="top"/>
    </xf>
    <xf numFmtId="0" fontId="2" fillId="0" borderId="0" xfId="0" applyFont="1" applyFill="1" applyBorder="1" applyAlignment="1" applyProtection="1">
      <alignment vertical="top" wrapText="1"/>
    </xf>
    <xf numFmtId="0" fontId="3" fillId="0" borderId="38" xfId="0" applyFont="1" applyFill="1" applyBorder="1" applyAlignment="1" applyProtection="1">
      <alignment vertical="top"/>
    </xf>
    <xf numFmtId="0" fontId="3" fillId="0" borderId="27" xfId="0" applyFont="1" applyFill="1" applyBorder="1" applyAlignment="1" applyProtection="1">
      <alignment vertical="top"/>
    </xf>
    <xf numFmtId="0" fontId="3" fillId="0" borderId="39" xfId="0" applyFont="1" applyFill="1" applyBorder="1" applyAlignment="1" applyProtection="1">
      <alignment vertical="top"/>
    </xf>
    <xf numFmtId="2" fontId="4" fillId="0" borderId="0" xfId="0" applyNumberFormat="1" applyFont="1" applyFill="1" applyBorder="1" applyAlignment="1" applyProtection="1">
      <alignment horizontal="center" vertical="top"/>
    </xf>
    <xf numFmtId="2" fontId="2" fillId="0" borderId="25" xfId="0" applyNumberFormat="1" applyFont="1" applyFill="1" applyBorder="1" applyAlignment="1" applyProtection="1">
      <alignment horizontal="center" vertical="center"/>
    </xf>
    <xf numFmtId="2" fontId="2" fillId="0" borderId="11" xfId="0" applyNumberFormat="1" applyFont="1" applyFill="1" applyBorder="1" applyAlignment="1" applyProtection="1">
      <alignment horizontal="center" vertical="center"/>
    </xf>
    <xf numFmtId="2" fontId="2" fillId="0" borderId="30" xfId="0" applyNumberFormat="1" applyFont="1" applyFill="1" applyBorder="1" applyAlignment="1" applyProtection="1">
      <alignment horizontal="center" vertical="center"/>
    </xf>
    <xf numFmtId="2" fontId="2" fillId="0" borderId="40" xfId="0" applyNumberFormat="1" applyFont="1" applyFill="1" applyBorder="1" applyAlignment="1" applyProtection="1">
      <alignment horizontal="center" vertical="top"/>
    </xf>
    <xf numFmtId="2" fontId="2" fillId="0" borderId="31" xfId="0" applyNumberFormat="1" applyFont="1" applyFill="1" applyBorder="1" applyAlignment="1" applyProtection="1">
      <alignment horizontal="center" vertical="top"/>
    </xf>
    <xf numFmtId="2" fontId="2" fillId="0" borderId="41" xfId="0" applyNumberFormat="1" applyFont="1" applyFill="1" applyBorder="1" applyAlignment="1" applyProtection="1">
      <alignment horizontal="center" vertical="top"/>
    </xf>
    <xf numFmtId="0" fontId="3" fillId="0" borderId="0" xfId="0" applyFont="1" applyFill="1" applyBorder="1" applyAlignment="1" applyProtection="1">
      <alignment horizontal="center" vertical="center"/>
    </xf>
    <xf numFmtId="0" fontId="2" fillId="0" borderId="24" xfId="0" applyFont="1" applyFill="1" applyBorder="1" applyAlignment="1" applyProtection="1">
      <alignment vertical="top"/>
    </xf>
    <xf numFmtId="0" fontId="2" fillId="0" borderId="28" xfId="0" applyFont="1" applyFill="1" applyBorder="1" applyAlignment="1" applyProtection="1">
      <alignment vertical="top"/>
    </xf>
    <xf numFmtId="0" fontId="2" fillId="0" borderId="29" xfId="0" applyFont="1" applyFill="1" applyBorder="1" applyAlignment="1" applyProtection="1">
      <alignment vertical="top"/>
    </xf>
    <xf numFmtId="0" fontId="3" fillId="0" borderId="6" xfId="0" applyFont="1" applyFill="1" applyBorder="1" applyAlignment="1" applyProtection="1">
      <alignment horizontal="center" vertical="top" wrapText="1"/>
    </xf>
    <xf numFmtId="0" fontId="3" fillId="0" borderId="42" xfId="0" applyFont="1" applyFill="1" applyBorder="1" applyAlignment="1" applyProtection="1">
      <alignment horizontal="center" vertical="top" wrapText="1"/>
    </xf>
    <xf numFmtId="0" fontId="3" fillId="0" borderId="27" xfId="0" quotePrefix="1" applyFont="1" applyBorder="1" applyAlignment="1">
      <alignment horizontal="left" vertical="center"/>
    </xf>
    <xf numFmtId="0" fontId="3" fillId="0" borderId="27" xfId="0" quotePrefix="1" applyFont="1" applyBorder="1" applyAlignment="1">
      <alignment horizontal="left" vertical="top"/>
    </xf>
    <xf numFmtId="0" fontId="3" fillId="0" borderId="38" xfId="0" applyFont="1" applyBorder="1" applyAlignment="1">
      <alignment horizontal="left" vertical="top"/>
    </xf>
    <xf numFmtId="0" fontId="2" fillId="0" borderId="23" xfId="0" applyFont="1" applyBorder="1" applyAlignment="1">
      <alignment vertical="top"/>
    </xf>
    <xf numFmtId="0" fontId="2" fillId="0" borderId="43" xfId="0" applyFont="1" applyBorder="1" applyAlignment="1">
      <alignment vertical="top"/>
    </xf>
    <xf numFmtId="0" fontId="2" fillId="0" borderId="0" xfId="0" applyFont="1" applyBorder="1" applyAlignment="1">
      <alignment vertical="top"/>
    </xf>
    <xf numFmtId="0" fontId="2" fillId="0" borderId="26" xfId="0" applyFont="1" applyBorder="1" applyAlignment="1">
      <alignment vertical="top"/>
    </xf>
    <xf numFmtId="0" fontId="2" fillId="0" borderId="27" xfId="0" applyFont="1" applyBorder="1" applyAlignment="1">
      <alignment horizontal="right" vertical="top"/>
    </xf>
    <xf numFmtId="0" fontId="2" fillId="0" borderId="0" xfId="0" applyFont="1" applyBorder="1" applyAlignment="1">
      <alignment horizontal="right" vertical="top"/>
    </xf>
    <xf numFmtId="0" fontId="3" fillId="0" borderId="25" xfId="0" applyFont="1" applyBorder="1" applyAlignment="1">
      <alignment horizontal="center" vertical="center" wrapText="1"/>
    </xf>
    <xf numFmtId="0" fontId="2" fillId="0" borderId="27" xfId="0" applyFont="1" applyBorder="1" applyAlignment="1">
      <alignment vertical="top"/>
    </xf>
    <xf numFmtId="0" fontId="2" fillId="0" borderId="39" xfId="0" applyFont="1" applyBorder="1" applyAlignment="1">
      <alignment vertical="top"/>
    </xf>
    <xf numFmtId="0" fontId="2" fillId="0" borderId="1" xfId="0" applyFont="1" applyBorder="1" applyAlignment="1">
      <alignment vertical="top"/>
    </xf>
    <xf numFmtId="0" fontId="2" fillId="0" borderId="44" xfId="0" applyFont="1" applyBorder="1" applyAlignment="1">
      <alignment vertical="top"/>
    </xf>
    <xf numFmtId="0" fontId="23" fillId="0" borderId="0" xfId="0" applyFont="1" applyAlignment="1" applyProtection="1">
      <alignment vertical="top"/>
    </xf>
    <xf numFmtId="0" fontId="3" fillId="0" borderId="0" xfId="0" applyFont="1" applyAlignment="1">
      <alignment horizontal="center" vertical="center"/>
    </xf>
    <xf numFmtId="0" fontId="3" fillId="0" borderId="9" xfId="0" applyFont="1" applyBorder="1" applyAlignment="1">
      <alignment horizontal="center" vertical="center"/>
    </xf>
    <xf numFmtId="0" fontId="2" fillId="0" borderId="39" xfId="0" applyFont="1" applyBorder="1" applyAlignment="1">
      <alignment horizontal="center" vertical="center"/>
    </xf>
    <xf numFmtId="0" fontId="2" fillId="0" borderId="1"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Fill="1" applyAlignment="1" applyProtection="1">
      <alignment horizontal="left" vertical="top"/>
    </xf>
    <xf numFmtId="0" fontId="3" fillId="0" borderId="35" xfId="0" applyFont="1" applyBorder="1" applyAlignment="1" applyProtection="1">
      <alignment horizontal="center" vertical="center"/>
    </xf>
    <xf numFmtId="2" fontId="2" fillId="0" borderId="13" xfId="0" applyNumberFormat="1" applyFont="1" applyBorder="1" applyAlignment="1" applyProtection="1">
      <alignment horizontal="center" vertical="top"/>
    </xf>
    <xf numFmtId="2" fontId="2" fillId="0" borderId="14" xfId="0" applyNumberFormat="1" applyFont="1" applyBorder="1" applyAlignment="1" applyProtection="1">
      <alignment horizontal="center" vertical="top"/>
    </xf>
    <xf numFmtId="2" fontId="2" fillId="0" borderId="25" xfId="0" applyNumberFormat="1" applyFont="1" applyBorder="1" applyAlignment="1" applyProtection="1">
      <alignment horizontal="center" vertical="top"/>
    </xf>
    <xf numFmtId="2" fontId="2" fillId="0" borderId="11" xfId="0" applyNumberFormat="1" applyFont="1" applyBorder="1" applyAlignment="1" applyProtection="1">
      <alignment horizontal="center" vertical="top"/>
    </xf>
    <xf numFmtId="2" fontId="2" fillId="0" borderId="30" xfId="0" applyNumberFormat="1" applyFont="1" applyBorder="1" applyAlignment="1" applyProtection="1">
      <alignment horizontal="center" vertical="top"/>
    </xf>
    <xf numFmtId="2" fontId="2" fillId="0" borderId="8" xfId="0" applyNumberFormat="1" applyFont="1" applyBorder="1" applyAlignment="1" applyProtection="1">
      <alignment horizontal="center" vertical="top"/>
    </xf>
    <xf numFmtId="2" fontId="2" fillId="0" borderId="45" xfId="0" applyNumberFormat="1" applyFont="1" applyBorder="1" applyAlignment="1" applyProtection="1">
      <alignment horizontal="center" vertical="top"/>
    </xf>
    <xf numFmtId="0" fontId="3" fillId="0" borderId="5" xfId="0" applyFont="1" applyBorder="1" applyAlignment="1" applyProtection="1">
      <alignment horizontal="center" vertical="center"/>
    </xf>
    <xf numFmtId="0" fontId="3" fillId="0" borderId="9" xfId="0" applyFont="1" applyFill="1" applyBorder="1" applyAlignment="1" applyProtection="1">
      <alignment horizontal="center" vertical="top"/>
    </xf>
    <xf numFmtId="0" fontId="3" fillId="0" borderId="10" xfId="0" applyFont="1" applyFill="1" applyBorder="1" applyAlignment="1" applyProtection="1">
      <alignment horizontal="center" vertical="top"/>
    </xf>
    <xf numFmtId="0" fontId="3" fillId="0" borderId="16" xfId="0" applyFont="1" applyFill="1" applyBorder="1" applyAlignment="1" applyProtection="1">
      <alignment horizontal="center" vertical="top"/>
    </xf>
    <xf numFmtId="2" fontId="2" fillId="0" borderId="2" xfId="0" applyNumberFormat="1" applyFont="1" applyFill="1" applyBorder="1" applyAlignment="1" applyProtection="1">
      <alignment horizontal="center" vertical="top" wrapText="1"/>
    </xf>
    <xf numFmtId="2" fontId="2" fillId="0" borderId="13" xfId="0" applyNumberFormat="1" applyFont="1" applyFill="1" applyBorder="1" applyAlignment="1" applyProtection="1">
      <alignment horizontal="center" vertical="top" wrapText="1"/>
    </xf>
    <xf numFmtId="2" fontId="2" fillId="0" borderId="11" xfId="0" applyNumberFormat="1" applyFont="1" applyFill="1" applyBorder="1" applyAlignment="1" applyProtection="1">
      <alignment horizontal="center" vertical="top" wrapText="1"/>
    </xf>
    <xf numFmtId="2" fontId="2" fillId="0" borderId="13" xfId="0" applyNumberFormat="1" applyFont="1" applyBorder="1" applyAlignment="1" applyProtection="1">
      <alignment horizontal="center" vertical="top" wrapText="1"/>
    </xf>
    <xf numFmtId="2" fontId="2" fillId="0" borderId="11" xfId="0" applyNumberFormat="1" applyFont="1" applyBorder="1" applyAlignment="1" applyProtection="1">
      <alignment horizontal="center" vertical="top" wrapText="1"/>
    </xf>
    <xf numFmtId="0" fontId="3" fillId="0" borderId="0" xfId="0" applyFont="1" applyFill="1" applyBorder="1" applyAlignment="1" applyProtection="1">
      <alignment horizontal="center" vertical="top" wrapText="1"/>
    </xf>
    <xf numFmtId="164" fontId="2" fillId="0" borderId="9" xfId="0" applyNumberFormat="1" applyFont="1" applyBorder="1" applyAlignment="1">
      <alignment horizontal="center" vertical="top"/>
    </xf>
    <xf numFmtId="164" fontId="2" fillId="0" borderId="25" xfId="0" applyNumberFormat="1" applyFont="1" applyBorder="1" applyAlignment="1">
      <alignment horizontal="center" vertical="top"/>
    </xf>
    <xf numFmtId="166" fontId="2" fillId="0" borderId="2" xfId="0" applyNumberFormat="1" applyFont="1" applyFill="1" applyBorder="1" applyAlignment="1" applyProtection="1">
      <alignment horizontal="center"/>
    </xf>
    <xf numFmtId="166" fontId="2" fillId="0" borderId="2" xfId="0" applyNumberFormat="1" applyFont="1" applyFill="1" applyBorder="1" applyAlignment="1" applyProtection="1">
      <alignment horizontal="center" vertical="center"/>
    </xf>
    <xf numFmtId="2" fontId="2" fillId="0" borderId="2" xfId="0" applyNumberFormat="1" applyFont="1" applyFill="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164" fontId="2" fillId="0" borderId="2"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center" vertical="center"/>
    </xf>
    <xf numFmtId="2" fontId="2" fillId="0" borderId="14" xfId="0" applyNumberFormat="1" applyFont="1" applyBorder="1" applyAlignment="1" applyProtection="1">
      <alignment horizontal="center" vertical="top" wrapText="1"/>
    </xf>
    <xf numFmtId="0" fontId="2" fillId="0" borderId="31" xfId="0" applyFont="1" applyBorder="1" applyAlignment="1" applyProtection="1">
      <alignment horizontal="center" vertical="top"/>
    </xf>
    <xf numFmtId="2" fontId="2" fillId="0" borderId="31" xfId="0" applyNumberFormat="1" applyFont="1" applyBorder="1" applyAlignment="1" applyProtection="1">
      <alignment horizontal="center" vertical="top" wrapText="1"/>
    </xf>
    <xf numFmtId="0" fontId="2" fillId="0" borderId="46" xfId="0" applyFont="1" applyBorder="1" applyAlignment="1" applyProtection="1">
      <alignment horizontal="center" vertical="top"/>
    </xf>
    <xf numFmtId="2" fontId="2" fillId="0" borderId="2" xfId="0" applyNumberFormat="1" applyFont="1" applyBorder="1" applyAlignment="1" applyProtection="1">
      <alignment horizontal="center"/>
    </xf>
    <xf numFmtId="0" fontId="2" fillId="0" borderId="31" xfId="0" applyFont="1" applyBorder="1" applyAlignment="1" applyProtection="1">
      <alignment horizontal="center" vertical="top" wrapText="1"/>
    </xf>
    <xf numFmtId="2" fontId="2" fillId="0" borderId="2" xfId="0" applyNumberFormat="1" applyFont="1" applyFill="1" applyBorder="1" applyAlignment="1" applyProtection="1">
      <alignment horizontal="right" vertical="center"/>
    </xf>
    <xf numFmtId="0" fontId="2" fillId="0" borderId="8" xfId="0" applyFont="1" applyBorder="1" applyAlignment="1" applyProtection="1">
      <alignment horizontal="center" vertical="center"/>
    </xf>
    <xf numFmtId="10" fontId="3" fillId="0" borderId="3" xfId="0" applyNumberFormat="1" applyFont="1" applyBorder="1" applyAlignment="1" applyProtection="1">
      <alignment horizontal="center" vertical="top" wrapText="1"/>
    </xf>
    <xf numFmtId="0" fontId="2" fillId="0" borderId="2" xfId="0" applyFont="1" applyBorder="1" applyAlignment="1" applyProtection="1">
      <alignment horizontal="center" vertical="center" wrapText="1"/>
    </xf>
    <xf numFmtId="2" fontId="2" fillId="0" borderId="2" xfId="0" applyNumberFormat="1" applyFont="1" applyBorder="1" applyAlignment="1" applyProtection="1">
      <alignment horizontal="center" vertical="center" wrapText="1"/>
    </xf>
    <xf numFmtId="0" fontId="3" fillId="0" borderId="3" xfId="0" applyFont="1" applyBorder="1" applyAlignment="1" applyProtection="1">
      <alignment horizontal="center" vertical="top" wrapText="1"/>
    </xf>
    <xf numFmtId="166" fontId="2" fillId="0" borderId="30" xfId="0" applyNumberFormat="1" applyFont="1" applyBorder="1" applyAlignment="1" applyProtection="1">
      <alignment horizontal="center"/>
    </xf>
    <xf numFmtId="0" fontId="8" fillId="0" borderId="0" xfId="0" applyFont="1" applyAlignment="1" applyProtection="1"/>
    <xf numFmtId="0" fontId="2" fillId="0" borderId="9"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2" fillId="0" borderId="25" xfId="0" applyFont="1" applyBorder="1" applyAlignment="1" applyProtection="1">
      <alignment horizontal="center" vertical="center"/>
    </xf>
    <xf numFmtId="164" fontId="2" fillId="0" borderId="9" xfId="0" applyNumberFormat="1" applyFont="1" applyBorder="1" applyAlignment="1" applyProtection="1">
      <alignment horizontal="center" vertical="center"/>
    </xf>
    <xf numFmtId="164" fontId="2" fillId="0" borderId="25" xfId="0" applyNumberFormat="1" applyFont="1" applyBorder="1" applyAlignment="1" applyProtection="1">
      <alignment horizontal="center" vertical="center"/>
    </xf>
    <xf numFmtId="166" fontId="2" fillId="0" borderId="9" xfId="0" applyNumberFormat="1" applyFont="1" applyBorder="1" applyAlignment="1" applyProtection="1">
      <alignment horizontal="center" vertical="center"/>
    </xf>
    <xf numFmtId="166" fontId="2" fillId="0" borderId="25" xfId="0" applyNumberFormat="1"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9" xfId="0" applyFont="1" applyBorder="1" applyAlignment="1" applyProtection="1">
      <alignment horizontal="center" vertical="center"/>
    </xf>
    <xf numFmtId="2" fontId="2" fillId="0" borderId="10" xfId="0" applyNumberFormat="1" applyFont="1" applyBorder="1" applyAlignment="1" applyProtection="1">
      <alignment horizontal="center" vertical="center"/>
    </xf>
    <xf numFmtId="166" fontId="2" fillId="0" borderId="11" xfId="0" applyNumberFormat="1" applyFont="1" applyBorder="1" applyAlignment="1" applyProtection="1">
      <alignment horizontal="center" vertical="center"/>
    </xf>
    <xf numFmtId="2" fontId="2" fillId="0" borderId="30" xfId="0" applyNumberFormat="1" applyFont="1" applyBorder="1" applyAlignment="1" applyProtection="1">
      <alignment horizontal="center" vertical="center"/>
    </xf>
    <xf numFmtId="2" fontId="2" fillId="0" borderId="16" xfId="0" applyNumberFormat="1" applyFont="1" applyBorder="1" applyAlignment="1" applyProtection="1">
      <alignment horizontal="center" vertical="center" wrapText="1"/>
    </xf>
    <xf numFmtId="2" fontId="2" fillId="0" borderId="13" xfId="0" applyNumberFormat="1" applyFont="1" applyBorder="1" applyAlignment="1" applyProtection="1">
      <alignment horizontal="center" vertical="center" wrapText="1"/>
    </xf>
    <xf numFmtId="166" fontId="2" fillId="0" borderId="10" xfId="0" applyNumberFormat="1" applyFont="1" applyBorder="1" applyAlignment="1" applyProtection="1">
      <alignment horizontal="center" vertical="center" wrapText="1"/>
    </xf>
    <xf numFmtId="166" fontId="2" fillId="0" borderId="11" xfId="0" applyNumberFormat="1" applyFont="1" applyBorder="1" applyAlignment="1" applyProtection="1">
      <alignment horizontal="center" vertical="center" wrapText="1"/>
    </xf>
    <xf numFmtId="0" fontId="3" fillId="0" borderId="6" xfId="0" applyFont="1" applyBorder="1" applyAlignment="1" applyProtection="1">
      <alignment horizontal="center" vertical="center"/>
    </xf>
    <xf numFmtId="0" fontId="3" fillId="0" borderId="42" xfId="0" applyFont="1" applyBorder="1" applyAlignment="1" applyProtection="1">
      <alignment horizontal="center" vertical="center"/>
    </xf>
    <xf numFmtId="0" fontId="2" fillId="0" borderId="7" xfId="0" applyFont="1" applyBorder="1" applyAlignment="1" applyProtection="1">
      <alignment horizontal="center" vertical="center"/>
    </xf>
    <xf numFmtId="2" fontId="2" fillId="0" borderId="11" xfId="0" applyNumberFormat="1" applyFont="1" applyFill="1" applyBorder="1" applyProtection="1">
      <alignment vertical="top" wrapText="1"/>
    </xf>
    <xf numFmtId="2" fontId="2" fillId="0" borderId="30" xfId="0" applyNumberFormat="1" applyFont="1" applyBorder="1" applyProtection="1">
      <alignment vertical="top" wrapText="1"/>
    </xf>
    <xf numFmtId="2" fontId="2" fillId="0" borderId="8" xfId="0" applyNumberFormat="1" applyFont="1" applyFill="1" applyBorder="1" applyProtection="1">
      <alignment vertical="top" wrapText="1"/>
    </xf>
    <xf numFmtId="2" fontId="2" fillId="0" borderId="45" xfId="0" applyNumberFormat="1" applyFont="1" applyBorder="1" applyProtection="1">
      <alignment vertical="top" wrapText="1"/>
    </xf>
    <xf numFmtId="2" fontId="2" fillId="2" borderId="5" xfId="0" applyNumberFormat="1" applyFont="1" applyFill="1" applyBorder="1" applyProtection="1">
      <alignment vertical="top" wrapText="1"/>
    </xf>
    <xf numFmtId="2" fontId="2" fillId="2" borderId="6" xfId="0" applyNumberFormat="1" applyFont="1" applyFill="1" applyBorder="1" applyProtection="1">
      <alignment vertical="top" wrapText="1"/>
    </xf>
    <xf numFmtId="2" fontId="2" fillId="2" borderId="42" xfId="0" applyNumberFormat="1" applyFont="1" applyFill="1" applyBorder="1" applyProtection="1">
      <alignment vertical="top" wrapText="1"/>
    </xf>
    <xf numFmtId="0" fontId="2" fillId="0" borderId="13" xfId="0" applyFont="1" applyBorder="1" applyAlignment="1" applyProtection="1">
      <alignment horizontal="center" vertical="top" wrapText="1"/>
    </xf>
    <xf numFmtId="2" fontId="2" fillId="0" borderId="11" xfId="0" applyNumberFormat="1" applyFont="1" applyFill="1" applyBorder="1" applyAlignment="1" applyProtection="1">
      <alignment horizontal="right" vertical="center"/>
    </xf>
    <xf numFmtId="2" fontId="2" fillId="0" borderId="11" xfId="0" applyNumberFormat="1" applyFont="1" applyBorder="1" applyProtection="1">
      <alignment vertical="top" wrapText="1"/>
    </xf>
    <xf numFmtId="0" fontId="2" fillId="2" borderId="2" xfId="0" applyFont="1" applyFill="1" applyBorder="1" applyAlignment="1" applyProtection="1">
      <alignment horizontal="center" vertical="center"/>
    </xf>
    <xf numFmtId="0" fontId="2" fillId="0" borderId="13" xfId="0" applyFont="1" applyBorder="1" applyAlignment="1" applyProtection="1">
      <alignment horizontal="center" vertical="center"/>
    </xf>
    <xf numFmtId="2" fontId="2" fillId="0" borderId="13" xfId="0" applyNumberFormat="1" applyFont="1" applyBorder="1" applyAlignment="1" applyProtection="1">
      <alignment horizontal="center" vertical="center"/>
    </xf>
    <xf numFmtId="0" fontId="2" fillId="0" borderId="14" xfId="0" applyFont="1" applyBorder="1" applyAlignment="1" applyProtection="1">
      <alignment horizontal="center" vertical="center"/>
    </xf>
    <xf numFmtId="2" fontId="2" fillId="0" borderId="11" xfId="0" applyNumberFormat="1" applyFont="1" applyBorder="1" applyAlignment="1" applyProtection="1">
      <alignment horizontal="center" vertical="center" wrapText="1"/>
    </xf>
    <xf numFmtId="0" fontId="2" fillId="0" borderId="11" xfId="0" applyFont="1" applyBorder="1" applyAlignment="1" applyProtection="1">
      <alignment horizontal="center" vertical="center"/>
    </xf>
    <xf numFmtId="2" fontId="2" fillId="0" borderId="11" xfId="0" applyNumberFormat="1" applyFont="1" applyBorder="1" applyAlignment="1" applyProtection="1">
      <alignment horizontal="center" vertical="center"/>
    </xf>
    <xf numFmtId="0" fontId="2" fillId="0" borderId="7" xfId="0" applyFont="1" applyBorder="1" applyAlignment="1" applyProtection="1">
      <alignment horizontal="center" vertical="top"/>
    </xf>
    <xf numFmtId="2" fontId="2" fillId="0" borderId="8" xfId="0" applyNumberFormat="1" applyFont="1" applyFill="1" applyBorder="1" applyAlignment="1" applyProtection="1">
      <alignment horizontal="right" vertical="center"/>
    </xf>
    <xf numFmtId="2" fontId="2" fillId="0" borderId="8" xfId="0" applyNumberFormat="1" applyFont="1" applyBorder="1" applyProtection="1">
      <alignment vertical="top"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7" fillId="0" borderId="0" xfId="0" applyNumberFormat="1" applyFont="1" applyFill="1" applyBorder="1" applyAlignment="1" applyProtection="1"/>
    <xf numFmtId="0" fontId="2" fillId="0" borderId="2" xfId="0" applyNumberFormat="1" applyFont="1" applyFill="1" applyBorder="1" applyAlignment="1" applyProtection="1">
      <alignment horizontal="center" vertical="center"/>
    </xf>
    <xf numFmtId="0" fontId="7" fillId="0" borderId="0" xfId="0" applyFont="1" applyAlignment="1" applyProtection="1">
      <alignment vertical="top"/>
    </xf>
    <xf numFmtId="2"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3" fillId="0" borderId="37" xfId="0" applyFont="1" applyBorder="1" applyAlignment="1" applyProtection="1">
      <alignment horizontal="center" vertical="top" wrapText="1"/>
    </xf>
    <xf numFmtId="0" fontId="3" fillId="0" borderId="35" xfId="0" applyFont="1" applyBorder="1" applyAlignment="1" applyProtection="1">
      <alignment horizontal="center" vertical="top" wrapText="1"/>
    </xf>
    <xf numFmtId="0" fontId="3" fillId="0" borderId="32" xfId="0" applyFont="1" applyBorder="1" applyAlignment="1" applyProtection="1">
      <alignment horizontal="center" vertical="top"/>
    </xf>
    <xf numFmtId="2" fontId="2" fillId="0" borderId="16" xfId="0" applyNumberFormat="1" applyFont="1" applyFill="1" applyBorder="1" applyAlignment="1" applyProtection="1">
      <alignment horizontal="center" vertical="top" wrapText="1"/>
    </xf>
    <xf numFmtId="2" fontId="2" fillId="0" borderId="14" xfId="0" applyNumberFormat="1" applyFont="1" applyFill="1" applyBorder="1" applyAlignment="1" applyProtection="1">
      <alignment horizontal="center" vertical="top" wrapText="1"/>
    </xf>
    <xf numFmtId="0" fontId="2" fillId="0" borderId="40" xfId="0" applyFont="1" applyBorder="1" applyAlignment="1" applyProtection="1">
      <alignment horizontal="center" vertical="top"/>
    </xf>
    <xf numFmtId="0" fontId="2" fillId="0" borderId="41" xfId="0" applyFont="1" applyBorder="1" applyAlignment="1" applyProtection="1">
      <alignment horizontal="center" vertical="top"/>
    </xf>
    <xf numFmtId="0" fontId="2" fillId="0" borderId="50" xfId="0" applyFont="1" applyBorder="1" applyAlignment="1" applyProtection="1">
      <alignment horizontal="center" vertical="top"/>
    </xf>
    <xf numFmtId="0" fontId="2" fillId="0" borderId="51" xfId="0" applyFont="1" applyBorder="1" applyAlignment="1" applyProtection="1">
      <alignment horizontal="center" vertical="top"/>
    </xf>
    <xf numFmtId="0" fontId="2" fillId="0" borderId="45" xfId="0" applyFont="1" applyBorder="1" applyAlignment="1" applyProtection="1">
      <alignment horizontal="center" vertical="center"/>
    </xf>
    <xf numFmtId="0" fontId="7" fillId="0" borderId="0" xfId="0" applyFont="1" applyAlignment="1" applyProtection="1"/>
    <xf numFmtId="0" fontId="3" fillId="0" borderId="36" xfId="0" applyFont="1" applyBorder="1" applyAlignment="1" applyProtection="1">
      <alignment horizontal="center" vertical="center"/>
    </xf>
    <xf numFmtId="0" fontId="3" fillId="0" borderId="37" xfId="0" applyFont="1" applyBorder="1" applyAlignment="1" applyProtection="1">
      <alignment horizontal="center" vertical="center"/>
    </xf>
    <xf numFmtId="2" fontId="2" fillId="0" borderId="9" xfId="0" applyNumberFormat="1" applyFont="1" applyBorder="1" applyAlignment="1" applyProtection="1">
      <alignment horizontal="center"/>
    </xf>
    <xf numFmtId="2" fontId="2" fillId="0" borderId="10" xfId="0" applyNumberFormat="1" applyFont="1" applyBorder="1" applyAlignment="1" applyProtection="1">
      <alignment horizontal="center"/>
    </xf>
    <xf numFmtId="2" fontId="2" fillId="0" borderId="11" xfId="0" applyNumberFormat="1" applyFont="1" applyBorder="1" applyAlignment="1" applyProtection="1">
      <alignment horizontal="center"/>
    </xf>
    <xf numFmtId="166" fontId="2" fillId="0" borderId="11" xfId="0" applyNumberFormat="1" applyFont="1" applyBorder="1" applyAlignment="1" applyProtection="1">
      <alignment horizontal="center"/>
    </xf>
    <xf numFmtId="0" fontId="3" fillId="0" borderId="24" xfId="0" applyFont="1" applyBorder="1" applyAlignment="1" applyProtection="1">
      <alignment horizontal="right" vertical="top"/>
    </xf>
    <xf numFmtId="0" fontId="3" fillId="0" borderId="28" xfId="0" applyFont="1" applyBorder="1" applyAlignment="1" applyProtection="1">
      <alignment horizontal="right" vertical="top"/>
    </xf>
    <xf numFmtId="0" fontId="3" fillId="0" borderId="29" xfId="0" applyFont="1" applyBorder="1" applyAlignment="1" applyProtection="1">
      <alignment horizontal="right" vertical="top"/>
    </xf>
    <xf numFmtId="166" fontId="2" fillId="0" borderId="13" xfId="0" applyNumberFormat="1" applyFont="1" applyBorder="1" applyAlignment="1" applyProtection="1">
      <alignment horizontal="center"/>
    </xf>
    <xf numFmtId="166" fontId="2" fillId="0" borderId="14" xfId="0" applyNumberFormat="1" applyFont="1" applyBorder="1" applyAlignment="1" applyProtection="1">
      <alignment horizontal="center"/>
    </xf>
    <xf numFmtId="166" fontId="2" fillId="0" borderId="24" xfId="0" applyNumberFormat="1" applyFont="1" applyBorder="1" applyAlignment="1" applyProtection="1">
      <alignment horizontal="center"/>
    </xf>
    <xf numFmtId="166" fontId="2" fillId="0" borderId="28" xfId="0" applyNumberFormat="1" applyFont="1" applyBorder="1" applyAlignment="1" applyProtection="1">
      <alignment horizontal="center"/>
    </xf>
    <xf numFmtId="164" fontId="2" fillId="0" borderId="28" xfId="0" applyNumberFormat="1" applyFont="1" applyBorder="1" applyAlignment="1" applyProtection="1">
      <alignment horizontal="center" vertical="top" wrapText="1"/>
    </xf>
    <xf numFmtId="166" fontId="2" fillId="0" borderId="29" xfId="0" applyNumberFormat="1" applyFont="1" applyBorder="1" applyAlignment="1" applyProtection="1">
      <alignment horizontal="center"/>
    </xf>
    <xf numFmtId="0" fontId="2" fillId="0" borderId="2" xfId="0" applyNumberFormat="1" applyFont="1" applyFill="1" applyBorder="1" applyAlignment="1" applyProtection="1">
      <alignment horizontal="center" vertical="center"/>
      <protection locked="0"/>
    </xf>
    <xf numFmtId="0" fontId="8" fillId="0" borderId="0" xfId="0" applyFont="1" applyAlignment="1" applyProtection="1">
      <alignment vertical="center"/>
    </xf>
    <xf numFmtId="164" fontId="2" fillId="0" borderId="11" xfId="0" applyNumberFormat="1" applyFont="1" applyBorder="1" applyAlignment="1" applyProtection="1">
      <alignment horizontal="center" vertical="center"/>
    </xf>
    <xf numFmtId="164" fontId="2" fillId="0" borderId="30" xfId="0" applyNumberFormat="1" applyFont="1" applyBorder="1" applyAlignment="1" applyProtection="1">
      <alignment horizontal="center" vertical="center"/>
    </xf>
    <xf numFmtId="0" fontId="3" fillId="0" borderId="34" xfId="0" applyFont="1" applyBorder="1" applyAlignment="1" applyProtection="1">
      <alignment horizontal="center" vertical="top" wrapText="1"/>
    </xf>
    <xf numFmtId="0" fontId="3" fillId="0" borderId="36" xfId="0" applyFont="1" applyBorder="1" applyAlignment="1" applyProtection="1">
      <alignment horizontal="center" vertical="center" wrapText="1"/>
    </xf>
    <xf numFmtId="164" fontId="2" fillId="0" borderId="31" xfId="0" applyNumberFormat="1" applyFont="1" applyBorder="1" applyAlignment="1" applyProtection="1">
      <alignment horizontal="center" vertical="top"/>
    </xf>
    <xf numFmtId="0" fontId="2" fillId="0" borderId="11"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1" fontId="2" fillId="0" borderId="13" xfId="0" applyNumberFormat="1" applyFont="1" applyBorder="1" applyAlignment="1" applyProtection="1">
      <alignment horizontal="center" vertical="top"/>
    </xf>
    <xf numFmtId="164" fontId="2" fillId="0" borderId="14" xfId="0" applyNumberFormat="1" applyFont="1" applyBorder="1" applyAlignment="1" applyProtection="1">
      <alignment horizontal="center" vertical="top"/>
    </xf>
    <xf numFmtId="0" fontId="3" fillId="0" borderId="33" xfId="0" applyFont="1" applyBorder="1" applyAlignment="1" applyProtection="1">
      <alignment horizontal="center" vertical="top" wrapText="1"/>
    </xf>
    <xf numFmtId="2" fontId="2" fillId="0" borderId="31" xfId="0" applyNumberFormat="1" applyFont="1" applyFill="1" applyBorder="1" applyAlignment="1" applyProtection="1">
      <alignment horizontal="center" vertical="center" wrapText="1"/>
    </xf>
    <xf numFmtId="0" fontId="24" fillId="0" borderId="0" xfId="0" applyFont="1" applyAlignment="1" applyProtection="1">
      <alignment vertical="top"/>
    </xf>
    <xf numFmtId="2" fontId="2" fillId="0" borderId="29" xfId="0" applyNumberFormat="1" applyFont="1" applyFill="1" applyBorder="1" applyAlignment="1" applyProtection="1">
      <alignment horizontal="center" vertical="top" wrapText="1"/>
    </xf>
    <xf numFmtId="2" fontId="2" fillId="0" borderId="25" xfId="0" applyNumberFormat="1" applyFont="1" applyFill="1" applyBorder="1" applyAlignment="1" applyProtection="1">
      <alignment horizontal="center" vertical="center" wrapText="1"/>
    </xf>
    <xf numFmtId="2" fontId="2" fillId="0" borderId="9" xfId="0" applyNumberFormat="1" applyFont="1" applyFill="1" applyBorder="1" applyAlignment="1" applyProtection="1">
      <alignment horizontal="center" vertical="center" wrapText="1"/>
    </xf>
    <xf numFmtId="2" fontId="2" fillId="0" borderId="11" xfId="0" applyNumberFormat="1" applyFont="1" applyFill="1" applyBorder="1" applyAlignment="1" applyProtection="1">
      <alignment horizontal="center" vertical="center" wrapText="1"/>
    </xf>
    <xf numFmtId="2" fontId="2" fillId="0" borderId="30" xfId="0" applyNumberFormat="1" applyFont="1" applyFill="1" applyBorder="1" applyAlignment="1" applyProtection="1">
      <alignment horizontal="center" vertical="center" wrapText="1"/>
    </xf>
    <xf numFmtId="0" fontId="13" fillId="0" borderId="0" xfId="0" applyFont="1" applyAlignment="1">
      <alignment horizontal="center" vertical="center"/>
    </xf>
    <xf numFmtId="164" fontId="2" fillId="0" borderId="24" xfId="0" applyNumberFormat="1" applyFont="1" applyBorder="1" applyAlignment="1">
      <alignment horizontal="center" vertical="center"/>
    </xf>
    <xf numFmtId="0" fontId="2" fillId="0" borderId="0" xfId="0" quotePrefix="1" applyFont="1" applyBorder="1" applyAlignment="1">
      <alignment horizontal="center" vertical="center" wrapText="1"/>
    </xf>
    <xf numFmtId="2" fontId="2" fillId="0" borderId="0" xfId="0" applyNumberFormat="1" applyFont="1" applyBorder="1" applyAlignment="1">
      <alignment horizontal="center" vertical="center"/>
    </xf>
    <xf numFmtId="168" fontId="2" fillId="0" borderId="0" xfId="0" applyNumberFormat="1" applyFont="1" applyBorder="1" applyAlignment="1" applyProtection="1">
      <alignment horizontal="center"/>
      <protection locked="0"/>
    </xf>
    <xf numFmtId="1" fontId="2" fillId="0" borderId="2" xfId="0" applyNumberFormat="1" applyFont="1" applyFill="1" applyBorder="1" applyAlignment="1" applyProtection="1">
      <alignment horizontal="center" vertical="center"/>
      <protection locked="0"/>
    </xf>
    <xf numFmtId="1" fontId="2" fillId="0" borderId="2" xfId="0" applyNumberFormat="1" applyFont="1" applyFill="1" applyBorder="1" applyAlignment="1" applyProtection="1">
      <alignment horizontal="center"/>
    </xf>
    <xf numFmtId="2" fontId="2" fillId="0" borderId="31" xfId="0" applyNumberFormat="1" applyFont="1" applyFill="1" applyBorder="1" applyAlignment="1" applyProtection="1">
      <alignment horizontal="center"/>
      <protection locked="0"/>
    </xf>
    <xf numFmtId="2" fontId="2" fillId="0" borderId="3" xfId="0" applyNumberFormat="1" applyFont="1" applyFill="1" applyBorder="1" applyAlignment="1" applyProtection="1">
      <alignment horizontal="center"/>
      <protection locked="0"/>
    </xf>
    <xf numFmtId="2" fontId="2" fillId="0" borderId="30" xfId="0" applyNumberFormat="1" applyFont="1" applyBorder="1" applyAlignment="1" applyProtection="1">
      <alignment horizontal="center" vertical="top" wrapText="1"/>
    </xf>
    <xf numFmtId="0" fontId="3" fillId="0" borderId="32" xfId="0" applyFont="1" applyBorder="1" applyAlignment="1" applyProtection="1">
      <alignment vertical="top"/>
    </xf>
    <xf numFmtId="0" fontId="3" fillId="0" borderId="33" xfId="0" applyFont="1" applyBorder="1" applyAlignment="1" applyProtection="1">
      <alignment vertical="top"/>
    </xf>
    <xf numFmtId="0" fontId="3" fillId="0" borderId="34" xfId="0" applyFont="1" applyBorder="1" applyAlignment="1" applyProtection="1">
      <alignment vertical="top"/>
    </xf>
    <xf numFmtId="0" fontId="3" fillId="0" borderId="40" xfId="0" applyFont="1" applyBorder="1" applyAlignment="1" applyProtection="1">
      <alignment horizontal="center" vertical="top" wrapText="1"/>
    </xf>
    <xf numFmtId="0" fontId="3" fillId="0" borderId="41" xfId="0" applyFont="1" applyBorder="1" applyAlignment="1" applyProtection="1">
      <alignment horizontal="center" vertical="top" wrapText="1"/>
    </xf>
    <xf numFmtId="166" fontId="5" fillId="0" borderId="0" xfId="0" applyNumberFormat="1" applyFont="1" applyAlignment="1" applyProtection="1"/>
    <xf numFmtId="164" fontId="2" fillId="0" borderId="2" xfId="0" applyNumberFormat="1" applyFont="1" applyFill="1" applyBorder="1" applyAlignment="1" applyProtection="1">
      <alignment horizontal="center"/>
    </xf>
    <xf numFmtId="166" fontId="3" fillId="0" borderId="2" xfId="0" applyNumberFormat="1" applyFont="1" applyFill="1" applyBorder="1" applyAlignment="1" applyProtection="1">
      <alignment horizontal="center" vertical="center" wrapText="1"/>
    </xf>
    <xf numFmtId="2" fontId="3" fillId="0" borderId="2" xfId="0" applyNumberFormat="1" applyFont="1" applyFill="1" applyBorder="1" applyAlignment="1" applyProtection="1">
      <alignment horizontal="center" vertical="center" wrapText="1"/>
    </xf>
    <xf numFmtId="167" fontId="2" fillId="0" borderId="2" xfId="0" applyNumberFormat="1" applyFont="1" applyFill="1" applyBorder="1" applyAlignment="1" applyProtection="1">
      <alignment horizontal="center"/>
    </xf>
    <xf numFmtId="2" fontId="2" fillId="0" borderId="0" xfId="0" applyNumberFormat="1" applyFont="1" applyBorder="1" applyAlignment="1" applyProtection="1">
      <alignment horizontal="center"/>
    </xf>
    <xf numFmtId="166" fontId="2" fillId="0" borderId="0" xfId="0" applyNumberFormat="1" applyFont="1" applyBorder="1" applyAlignment="1" applyProtection="1">
      <alignment horizontal="left"/>
    </xf>
    <xf numFmtId="0" fontId="2" fillId="0" borderId="0" xfId="0" applyFont="1" applyFill="1" applyAlignment="1" applyProtection="1">
      <alignment horizontal="right"/>
    </xf>
    <xf numFmtId="166" fontId="2" fillId="0" borderId="0" xfId="0" applyNumberFormat="1" applyFont="1" applyFill="1" applyAlignment="1" applyProtection="1">
      <alignment horizontal="left"/>
    </xf>
    <xf numFmtId="167" fontId="2" fillId="0" borderId="0" xfId="0" applyNumberFormat="1" applyFont="1" applyFill="1" applyBorder="1" applyAlignment="1" applyProtection="1">
      <alignment horizontal="center"/>
    </xf>
    <xf numFmtId="164" fontId="2" fillId="0" borderId="0" xfId="0" applyNumberFormat="1" applyFont="1" applyFill="1" applyBorder="1" applyAlignment="1" applyProtection="1">
      <alignment horizontal="center"/>
    </xf>
    <xf numFmtId="166" fontId="2" fillId="0" borderId="0" xfId="0" applyNumberFormat="1" applyFont="1" applyFill="1" applyBorder="1" applyAlignment="1" applyProtection="1">
      <alignment horizontal="center"/>
    </xf>
    <xf numFmtId="2" fontId="2" fillId="0" borderId="31" xfId="0" applyNumberFormat="1" applyFont="1" applyBorder="1" applyAlignment="1" applyProtection="1">
      <alignment horizontal="center" vertical="top"/>
    </xf>
    <xf numFmtId="0" fontId="2" fillId="0" borderId="31" xfId="0" applyFont="1" applyBorder="1" applyAlignment="1" applyProtection="1">
      <alignment horizontal="center" vertical="center"/>
    </xf>
    <xf numFmtId="165" fontId="2" fillId="0" borderId="2" xfId="0" applyNumberFormat="1" applyFont="1" applyFill="1" applyBorder="1" applyAlignment="1">
      <alignment horizontal="center" vertical="center"/>
    </xf>
    <xf numFmtId="2" fontId="3" fillId="0" borderId="3" xfId="0" applyNumberFormat="1" applyFont="1" applyFill="1" applyBorder="1" applyAlignment="1" applyProtection="1">
      <alignment horizontal="center"/>
      <protection locked="0"/>
    </xf>
    <xf numFmtId="2" fontId="2" fillId="0" borderId="11" xfId="0" applyNumberFormat="1" applyFont="1" applyBorder="1" applyAlignment="1">
      <alignment horizontal="center" vertical="center" wrapText="1"/>
    </xf>
    <xf numFmtId="0" fontId="2" fillId="0" borderId="13" xfId="0" applyFont="1" applyBorder="1" applyAlignment="1" applyProtection="1">
      <alignment horizontal="center" vertical="top"/>
    </xf>
    <xf numFmtId="2" fontId="2" fillId="0" borderId="9" xfId="0" applyNumberFormat="1" applyFont="1" applyBorder="1" applyAlignment="1" applyProtection="1">
      <alignment horizontal="center" vertical="top"/>
    </xf>
    <xf numFmtId="0" fontId="2" fillId="0" borderId="16" xfId="0" applyFont="1" applyBorder="1" applyAlignment="1" applyProtection="1">
      <alignment horizontal="center" vertical="top"/>
    </xf>
    <xf numFmtId="0" fontId="2" fillId="0" borderId="14" xfId="0" applyFont="1" applyBorder="1" applyAlignment="1" applyProtection="1">
      <alignment horizontal="center" vertical="top"/>
    </xf>
    <xf numFmtId="0" fontId="2" fillId="0" borderId="16" xfId="0" applyFont="1" applyBorder="1" applyAlignment="1" applyProtection="1">
      <alignment horizontal="center" vertical="center"/>
    </xf>
    <xf numFmtId="2" fontId="2" fillId="0" borderId="25" xfId="0" applyNumberFormat="1" applyFont="1" applyBorder="1" applyAlignment="1" applyProtection="1">
      <alignment horizontal="center" vertical="center"/>
    </xf>
    <xf numFmtId="2" fontId="2" fillId="0" borderId="9" xfId="0" applyNumberFormat="1" applyFont="1" applyBorder="1" applyAlignment="1" applyProtection="1">
      <alignment horizontal="center" vertical="center" wrapText="1"/>
    </xf>
    <xf numFmtId="2" fontId="2" fillId="0" borderId="10" xfId="0" applyNumberFormat="1" applyFont="1" applyBorder="1" applyAlignment="1" applyProtection="1">
      <alignment horizontal="center" vertical="center" wrapText="1"/>
    </xf>
    <xf numFmtId="164" fontId="2" fillId="0" borderId="13" xfId="0" applyNumberFormat="1" applyFont="1" applyBorder="1" applyAlignment="1" applyProtection="1">
      <alignment horizontal="center" vertical="top"/>
    </xf>
    <xf numFmtId="0" fontId="25" fillId="0" borderId="0" xfId="0" applyFont="1" applyAlignment="1"/>
    <xf numFmtId="0" fontId="25" fillId="0" borderId="0" xfId="0" applyFont="1" applyAlignment="1" applyProtection="1">
      <alignment vertical="top"/>
    </xf>
    <xf numFmtId="0" fontId="25" fillId="0" borderId="0" xfId="1" applyFont="1"/>
    <xf numFmtId="2" fontId="2" fillId="0" borderId="2"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top" wrapText="1"/>
    </xf>
    <xf numFmtId="0" fontId="2" fillId="0" borderId="0" xfId="0" applyFont="1" applyBorder="1" applyAlignment="1" applyProtection="1">
      <alignment horizontal="right" vertical="top" wrapText="1"/>
    </xf>
    <xf numFmtId="0" fontId="3" fillId="0" borderId="9" xfId="0" applyFont="1" applyBorder="1" applyAlignment="1">
      <alignment horizontal="center" vertical="center" wrapText="1"/>
    </xf>
    <xf numFmtId="0" fontId="3" fillId="0" borderId="25" xfId="0" applyFont="1" applyBorder="1" applyAlignment="1">
      <alignment vertical="center" wrapText="1"/>
    </xf>
    <xf numFmtId="0" fontId="2" fillId="0" borderId="9" xfId="0" applyFont="1" applyBorder="1" applyAlignment="1">
      <alignment horizontal="center" vertical="top" wrapText="1"/>
    </xf>
    <xf numFmtId="2" fontId="2" fillId="0" borderId="25" xfId="0" applyNumberFormat="1" applyFont="1" applyBorder="1" applyAlignment="1">
      <alignment horizontal="center" vertical="center" wrapText="1"/>
    </xf>
    <xf numFmtId="0" fontId="2" fillId="0" borderId="27" xfId="0" applyFont="1" applyBorder="1">
      <alignment vertical="top" wrapText="1"/>
    </xf>
    <xf numFmtId="0" fontId="2" fillId="0" borderId="26" xfId="0" applyFont="1" applyBorder="1">
      <alignment vertical="top" wrapText="1"/>
    </xf>
    <xf numFmtId="0" fontId="2" fillId="0" borderId="27" xfId="0" applyFont="1" applyBorder="1" applyAlignment="1">
      <alignment horizontal="right" vertical="center" wrapText="1"/>
    </xf>
    <xf numFmtId="0" fontId="2" fillId="0" borderId="39" xfId="0" applyFont="1" applyBorder="1" applyAlignment="1">
      <alignment horizontal="right" vertical="center" wrapText="1"/>
    </xf>
    <xf numFmtId="0" fontId="2" fillId="0" borderId="1" xfId="0" applyFont="1" applyBorder="1">
      <alignment vertical="top" wrapText="1"/>
    </xf>
    <xf numFmtId="0" fontId="2" fillId="0" borderId="44" xfId="0" applyFont="1" applyBorder="1">
      <alignment vertical="top" wrapText="1"/>
    </xf>
    <xf numFmtId="2" fontId="2" fillId="0" borderId="25" xfId="0" applyNumberFormat="1" applyFont="1" applyFill="1" applyBorder="1" applyAlignment="1">
      <alignment horizontal="center" vertical="center" wrapText="1"/>
    </xf>
    <xf numFmtId="2" fontId="2" fillId="0" borderId="11" xfId="0" applyNumberFormat="1" applyFont="1" applyFill="1" applyBorder="1" applyAlignment="1">
      <alignment horizontal="center" vertical="center" wrapText="1"/>
    </xf>
    <xf numFmtId="0" fontId="15" fillId="0" borderId="0" xfId="0" quotePrefix="1" applyFont="1" applyFill="1" applyAlignment="1">
      <alignment horizontal="left" vertical="top" wrapText="1"/>
    </xf>
    <xf numFmtId="0" fontId="23" fillId="0" borderId="0" xfId="0" applyFont="1" applyFill="1" applyAlignment="1">
      <alignment horizontal="right"/>
    </xf>
    <xf numFmtId="0" fontId="3" fillId="0" borderId="0" xfId="0" applyFont="1" applyAlignment="1">
      <alignment horizontal="right" vertical="center"/>
    </xf>
    <xf numFmtId="2" fontId="3" fillId="0" borderId="0" xfId="0" applyNumberFormat="1" applyFont="1" applyAlignment="1" applyProtection="1">
      <alignment vertical="top"/>
    </xf>
    <xf numFmtId="0" fontId="2" fillId="0" borderId="0" xfId="0" applyFont="1" applyBorder="1" applyAlignment="1" applyProtection="1">
      <alignment vertical="top" wrapText="1"/>
    </xf>
    <xf numFmtId="0" fontId="2" fillId="0" borderId="0" xfId="0" quotePrefix="1" applyFont="1" applyFill="1" applyBorder="1" applyAlignment="1">
      <alignment wrapText="1"/>
    </xf>
    <xf numFmtId="0" fontId="2" fillId="0" borderId="0" xfId="0" quotePrefix="1" applyFont="1" applyAlignment="1">
      <alignment wrapText="1"/>
    </xf>
    <xf numFmtId="0" fontId="2" fillId="0" borderId="0" xfId="0" applyFont="1" applyBorder="1" applyAlignment="1">
      <alignment wrapText="1"/>
    </xf>
    <xf numFmtId="0" fontId="3" fillId="0" borderId="15" xfId="0" applyFont="1" applyBorder="1" applyAlignment="1">
      <alignment horizontal="center" vertical="center" wrapText="1"/>
    </xf>
    <xf numFmtId="0" fontId="2" fillId="0" borderId="15" xfId="0" applyFont="1" applyBorder="1" applyAlignment="1">
      <alignment horizontal="center" vertical="center"/>
    </xf>
    <xf numFmtId="0" fontId="3" fillId="0" borderId="38"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9" fillId="0" borderId="1" xfId="0" applyFont="1" applyBorder="1" applyAlignment="1" applyProtection="1">
      <alignment vertical="top" wrapText="1"/>
    </xf>
    <xf numFmtId="2" fontId="2" fillId="0" borderId="2" xfId="0" applyNumberFormat="1" applyFont="1" applyBorder="1" applyAlignment="1" applyProtection="1">
      <alignment vertical="center" wrapText="1"/>
    </xf>
    <xf numFmtId="2" fontId="2" fillId="0" borderId="2" xfId="0" applyNumberFormat="1" applyFont="1" applyFill="1" applyBorder="1" applyAlignment="1" applyProtection="1">
      <alignment vertical="center" wrapText="1"/>
    </xf>
    <xf numFmtId="2" fontId="2" fillId="0" borderId="25" xfId="0" applyNumberFormat="1" applyFont="1" applyBorder="1" applyAlignment="1" applyProtection="1">
      <alignment vertical="center" wrapText="1"/>
    </xf>
    <xf numFmtId="2" fontId="2" fillId="0" borderId="8" xfId="0" applyNumberFormat="1" applyFont="1" applyBorder="1" applyAlignment="1" applyProtection="1">
      <alignment horizontal="center" vertical="top" wrapText="1"/>
    </xf>
    <xf numFmtId="2" fontId="2" fillId="0" borderId="0" xfId="0" applyNumberFormat="1" applyFont="1" applyFill="1" applyBorder="1" applyAlignment="1" applyProtection="1">
      <alignment horizontal="left" vertical="center"/>
    </xf>
    <xf numFmtId="2" fontId="2" fillId="0" borderId="0" xfId="0" applyNumberFormat="1" applyFont="1" applyFill="1" applyBorder="1" applyAlignment="1" applyProtection="1">
      <alignment horizontal="left" vertical="top"/>
    </xf>
    <xf numFmtId="2" fontId="3" fillId="0" borderId="0" xfId="0" applyNumberFormat="1" applyFont="1" applyFill="1" applyBorder="1" applyAlignment="1" applyProtection="1">
      <alignment horizontal="right" vertical="center"/>
    </xf>
    <xf numFmtId="0" fontId="15" fillId="0" borderId="0" xfId="0" applyFont="1" applyFill="1" applyAlignment="1">
      <alignment horizontal="left" vertical="top" wrapText="1"/>
    </xf>
    <xf numFmtId="164" fontId="3" fillId="0" borderId="0" xfId="0" applyNumberFormat="1" applyFont="1" applyFill="1" applyBorder="1" applyAlignment="1" applyProtection="1">
      <alignment horizontal="left" vertical="center"/>
    </xf>
    <xf numFmtId="0" fontId="3" fillId="0" borderId="10"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30" xfId="0" applyFont="1" applyBorder="1" applyAlignment="1" applyProtection="1">
      <alignment horizontal="center" vertical="top"/>
    </xf>
    <xf numFmtId="0" fontId="2" fillId="0" borderId="0" xfId="0" applyNumberFormat="1" applyFont="1" applyFill="1" applyBorder="1" applyAlignment="1" applyProtection="1">
      <alignment horizontal="right" vertical="center" wrapText="1"/>
    </xf>
    <xf numFmtId="0" fontId="2" fillId="0" borderId="0" xfId="0" applyFont="1" applyBorder="1" applyAlignment="1" applyProtection="1">
      <alignment horizontal="right" vertical="center" wrapText="1"/>
    </xf>
    <xf numFmtId="0" fontId="2" fillId="0" borderId="0" xfId="0" applyNumberFormat="1" applyFont="1" applyFill="1" applyBorder="1" applyAlignment="1" applyProtection="1">
      <alignment horizontal="left" vertical="center"/>
    </xf>
    <xf numFmtId="164" fontId="2" fillId="0" borderId="2" xfId="0" applyNumberFormat="1" applyFont="1" applyBorder="1" applyAlignment="1" applyProtection="1">
      <alignment horizontal="center" vertical="center" wrapText="1"/>
    </xf>
    <xf numFmtId="164" fontId="2" fillId="0" borderId="25" xfId="0" applyNumberFormat="1" applyFont="1" applyBorder="1" applyAlignment="1" applyProtection="1">
      <alignment horizontal="center" vertical="center" wrapText="1"/>
    </xf>
    <xf numFmtId="165" fontId="2" fillId="0" borderId="2"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right" vertical="center"/>
    </xf>
    <xf numFmtId="164" fontId="2" fillId="0" borderId="9" xfId="0" applyNumberFormat="1" applyFont="1" applyFill="1" applyBorder="1" applyAlignment="1" applyProtection="1">
      <alignment horizontal="center" vertical="center"/>
    </xf>
    <xf numFmtId="164" fontId="2" fillId="0" borderId="25" xfId="0" applyNumberFormat="1" applyFont="1" applyFill="1" applyBorder="1" applyAlignment="1" applyProtection="1">
      <alignment horizontal="center" vertical="center"/>
    </xf>
    <xf numFmtId="164" fontId="2" fillId="0" borderId="10" xfId="0" applyNumberFormat="1" applyFont="1" applyBorder="1" applyAlignment="1" applyProtection="1">
      <alignment horizontal="center" vertical="center"/>
    </xf>
    <xf numFmtId="0" fontId="2" fillId="0" borderId="0" xfId="0" applyFont="1" applyAlignment="1" applyProtection="1">
      <alignment horizontal="right" wrapText="1"/>
    </xf>
    <xf numFmtId="0" fontId="2" fillId="0" borderId="0" xfId="0" quotePrefix="1" applyFont="1" applyFill="1" applyAlignment="1" applyProtection="1">
      <alignment vertical="top"/>
    </xf>
    <xf numFmtId="166" fontId="2" fillId="0" borderId="31" xfId="0" applyNumberFormat="1" applyFont="1" applyFill="1" applyBorder="1" applyAlignment="1" applyProtection="1">
      <alignment horizontal="center" vertical="center"/>
    </xf>
    <xf numFmtId="0" fontId="15" fillId="0" borderId="0" xfId="0" quotePrefix="1" applyFont="1" applyFill="1" applyAlignment="1">
      <alignment vertical="top"/>
    </xf>
    <xf numFmtId="0" fontId="15" fillId="0" borderId="0" xfId="0" applyFont="1" applyFill="1" applyAlignment="1">
      <alignment horizontal="left" vertical="top"/>
    </xf>
    <xf numFmtId="0" fontId="27" fillId="0" borderId="0" xfId="0" applyFont="1" applyFill="1" applyAlignment="1">
      <alignment horizontal="right" vertical="top" wrapText="1"/>
    </xf>
    <xf numFmtId="0" fontId="23" fillId="0" borderId="0" xfId="0" applyFont="1" applyFill="1" applyAlignment="1">
      <alignment horizontal="left"/>
    </xf>
    <xf numFmtId="0" fontId="15" fillId="0" borderId="0" xfId="0" applyFont="1" applyAlignment="1">
      <alignment horizontal="left" vertical="top"/>
    </xf>
    <xf numFmtId="0" fontId="15" fillId="0" borderId="0" xfId="0" quotePrefix="1" applyFont="1" applyAlignment="1">
      <alignment horizontal="left" vertical="top" wrapText="1"/>
    </xf>
    <xf numFmtId="0" fontId="27" fillId="0" borderId="0" xfId="0" applyFont="1" applyFill="1" applyAlignment="1">
      <alignment horizontal="right" vertical="top"/>
    </xf>
    <xf numFmtId="0" fontId="15" fillId="0" borderId="0" xfId="1" quotePrefix="1" applyFont="1" applyFill="1" applyAlignment="1">
      <alignment vertical="top" wrapText="1"/>
    </xf>
    <xf numFmtId="0" fontId="15" fillId="0" borderId="0" xfId="0" applyFont="1" applyAlignment="1">
      <alignment vertical="center"/>
    </xf>
    <xf numFmtId="0" fontId="15" fillId="0" borderId="0" xfId="0" quotePrefix="1" applyFont="1" applyAlignment="1">
      <alignment horizontal="left" vertical="top"/>
    </xf>
    <xf numFmtId="0" fontId="15" fillId="0" borderId="0" xfId="0" applyFont="1" applyAlignment="1">
      <alignment vertical="top"/>
    </xf>
    <xf numFmtId="170" fontId="15" fillId="0" borderId="0" xfId="0" applyNumberFormat="1" applyFont="1" applyFill="1" applyAlignment="1">
      <alignment horizontal="right" vertical="top" wrapText="1"/>
    </xf>
    <xf numFmtId="170" fontId="15" fillId="0" borderId="0" xfId="0" applyNumberFormat="1" applyFont="1" applyFill="1" applyAlignment="1">
      <alignment horizontal="right" vertical="top"/>
    </xf>
    <xf numFmtId="0" fontId="3" fillId="0" borderId="0" xfId="0" applyFont="1" applyBorder="1" applyAlignment="1" applyProtection="1">
      <alignment horizontal="left" vertical="top"/>
    </xf>
    <xf numFmtId="0" fontId="7" fillId="0" borderId="0" xfId="0" applyFont="1" applyBorder="1" applyAlignment="1" applyProtection="1">
      <alignment vertical="top"/>
    </xf>
    <xf numFmtId="2" fontId="3" fillId="0" borderId="0" xfId="0" applyNumberFormat="1" applyFont="1" applyFill="1" applyBorder="1" applyAlignment="1" applyProtection="1">
      <alignment horizontal="center"/>
      <protection locked="0"/>
    </xf>
    <xf numFmtId="2" fontId="2" fillId="0" borderId="52" xfId="0" applyNumberFormat="1" applyFont="1" applyBorder="1" applyAlignment="1">
      <alignment horizontal="center" vertical="center"/>
    </xf>
    <xf numFmtId="2" fontId="2" fillId="0" borderId="53"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0" fontId="8" fillId="0" borderId="0" xfId="0" applyFont="1" applyAlignment="1" applyProtection="1">
      <alignment horizontal="left" vertical="top"/>
    </xf>
    <xf numFmtId="0" fontId="3" fillId="0" borderId="38" xfId="0" applyFont="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54" xfId="0" applyFont="1" applyBorder="1" applyAlignment="1">
      <alignment horizontal="center" vertical="center"/>
    </xf>
    <xf numFmtId="2" fontId="3" fillId="0" borderId="55" xfId="0" applyNumberFormat="1" applyFont="1" applyBorder="1" applyAlignment="1">
      <alignment horizontal="center" vertical="center" wrapText="1"/>
    </xf>
    <xf numFmtId="0" fontId="2" fillId="0" borderId="39" xfId="0" applyFont="1" applyBorder="1" applyAlignment="1">
      <alignment horizontal="center" vertical="center" wrapText="1"/>
    </xf>
    <xf numFmtId="0" fontId="2" fillId="0" borderId="2" xfId="2" applyFont="1" applyBorder="1" applyAlignment="1">
      <alignment horizontal="center"/>
    </xf>
    <xf numFmtId="166" fontId="2" fillId="0" borderId="2" xfId="2" applyNumberFormat="1" applyFont="1" applyBorder="1" applyAlignment="1">
      <alignment horizontal="center" vertical="center"/>
    </xf>
    <xf numFmtId="0" fontId="2" fillId="0" borderId="2" xfId="2" applyFont="1" applyBorder="1" applyAlignment="1">
      <alignment horizontal="center" vertical="center"/>
    </xf>
    <xf numFmtId="166" fontId="2" fillId="0" borderId="2" xfId="2" applyNumberFormat="1" applyFont="1" applyFill="1" applyBorder="1" applyAlignment="1">
      <alignment horizontal="center" vertical="center"/>
    </xf>
    <xf numFmtId="2" fontId="28" fillId="0" borderId="2" xfId="2" applyNumberFormat="1" applyBorder="1" applyAlignment="1">
      <alignment horizontal="center" vertical="center"/>
    </xf>
    <xf numFmtId="0" fontId="3" fillId="0" borderId="0" xfId="0" applyFont="1">
      <alignment vertical="top" wrapText="1"/>
    </xf>
    <xf numFmtId="0" fontId="28" fillId="0" borderId="0" xfId="2"/>
    <xf numFmtId="0" fontId="28" fillId="0" borderId="0" xfId="2" applyAlignment="1">
      <alignment vertical="center"/>
    </xf>
    <xf numFmtId="0" fontId="28" fillId="0" borderId="2" xfId="2" applyBorder="1" applyAlignment="1">
      <alignment horizontal="center"/>
    </xf>
    <xf numFmtId="0" fontId="2" fillId="0" borderId="0" xfId="2" applyFont="1" applyAlignment="1">
      <alignment horizontal="right"/>
    </xf>
    <xf numFmtId="2" fontId="28" fillId="0" borderId="2" xfId="2" applyNumberFormat="1" applyBorder="1" applyAlignment="1">
      <alignment horizontal="center"/>
    </xf>
    <xf numFmtId="0" fontId="2" fillId="0" borderId="0" xfId="2" applyFont="1" applyAlignment="1">
      <alignment vertical="center"/>
    </xf>
    <xf numFmtId="0" fontId="2" fillId="0" borderId="0" xfId="2" applyFont="1" applyAlignment="1">
      <alignment horizontal="right" vertical="center"/>
    </xf>
    <xf numFmtId="0" fontId="9" fillId="0" borderId="0" xfId="2" applyFont="1" applyAlignment="1">
      <alignment horizontal="right"/>
    </xf>
    <xf numFmtId="0" fontId="28" fillId="0" borderId="0" xfId="2" applyAlignment="1">
      <alignment horizontal="center"/>
    </xf>
    <xf numFmtId="0" fontId="3" fillId="0" borderId="0" xfId="2" applyFont="1"/>
    <xf numFmtId="0" fontId="28" fillId="0" borderId="0" xfId="2" applyAlignment="1">
      <alignment horizontal="right"/>
    </xf>
    <xf numFmtId="0" fontId="28" fillId="0" borderId="0" xfId="2" applyAlignment="1">
      <alignment horizontal="left"/>
    </xf>
    <xf numFmtId="0" fontId="28" fillId="0" borderId="0" xfId="2" applyBorder="1" applyAlignment="1">
      <alignment horizontal="center"/>
    </xf>
    <xf numFmtId="0" fontId="2" fillId="0" borderId="0" xfId="2" applyFont="1"/>
    <xf numFmtId="0" fontId="2" fillId="0" borderId="2" xfId="1" applyFill="1" applyBorder="1" applyAlignment="1">
      <alignment horizontal="center"/>
    </xf>
    <xf numFmtId="0" fontId="2" fillId="0" borderId="2" xfId="1" applyFill="1" applyBorder="1" applyAlignment="1">
      <alignment horizontal="center" vertical="center"/>
    </xf>
    <xf numFmtId="0" fontId="2" fillId="0" borderId="0" xfId="0" applyFont="1" applyAlignment="1">
      <alignment horizontal="right" vertical="top" wrapText="1"/>
    </xf>
    <xf numFmtId="0" fontId="3" fillId="0" borderId="31" xfId="0" applyFont="1" applyBorder="1" applyAlignment="1">
      <alignment horizontal="center" vertical="center" wrapText="1"/>
    </xf>
    <xf numFmtId="0" fontId="3" fillId="0" borderId="8" xfId="0" applyFont="1" applyBorder="1" applyAlignment="1">
      <alignment horizontal="center" vertical="center" wrapText="1"/>
    </xf>
    <xf numFmtId="2" fontId="2" fillId="0" borderId="8" xfId="0" applyNumberFormat="1" applyFont="1" applyBorder="1" applyAlignment="1">
      <alignment horizontal="center" vertical="center" wrapText="1"/>
    </xf>
    <xf numFmtId="0" fontId="3" fillId="0" borderId="31" xfId="0" applyFont="1" applyBorder="1" applyAlignment="1">
      <alignment horizontal="center" vertical="top" wrapText="1"/>
    </xf>
    <xf numFmtId="0" fontId="3" fillId="0" borderId="8" xfId="0" applyFont="1" applyBorder="1" applyAlignment="1">
      <alignment horizontal="center" vertical="top" wrapText="1"/>
    </xf>
    <xf numFmtId="2" fontId="2" fillId="0" borderId="8" xfId="0" applyNumberFormat="1" applyFont="1" applyBorder="1" applyAlignment="1">
      <alignment horizontal="center" vertical="top" wrapText="1"/>
    </xf>
    <xf numFmtId="0" fontId="0" fillId="0" borderId="0" xfId="0" applyAlignment="1">
      <alignment vertical="top"/>
    </xf>
    <xf numFmtId="0" fontId="15" fillId="0" borderId="0" xfId="0" applyFont="1" applyFill="1" applyAlignment="1">
      <alignment horizontal="left"/>
    </xf>
    <xf numFmtId="0" fontId="27" fillId="0" borderId="0" xfId="0" applyFont="1" applyFill="1" applyAlignment="1">
      <alignment horizontal="left" vertical="top"/>
    </xf>
    <xf numFmtId="0" fontId="0" fillId="0" borderId="0" xfId="0" applyAlignment="1">
      <alignment horizontal="left" vertical="top"/>
    </xf>
    <xf numFmtId="2" fontId="31" fillId="0" borderId="2" xfId="1" applyNumberFormat="1" applyFont="1" applyFill="1" applyBorder="1" applyAlignment="1">
      <alignment horizontal="center" vertical="center"/>
    </xf>
    <xf numFmtId="0" fontId="2" fillId="0" borderId="0" xfId="1" applyFont="1" applyFill="1" applyAlignment="1">
      <alignment horizontal="right" vertical="center"/>
    </xf>
    <xf numFmtId="169" fontId="31" fillId="0" borderId="2" xfId="1" applyNumberFormat="1" applyFont="1" applyFill="1" applyBorder="1" applyAlignment="1">
      <alignment horizontal="center" vertical="center"/>
    </xf>
    <xf numFmtId="0" fontId="2" fillId="0" borderId="0" xfId="1" applyFill="1" applyAlignment="1">
      <alignment vertical="center"/>
    </xf>
    <xf numFmtId="2" fontId="2" fillId="0" borderId="25" xfId="0" applyNumberFormat="1" applyFont="1" applyBorder="1" applyAlignment="1" applyProtection="1">
      <alignment horizontal="center"/>
    </xf>
    <xf numFmtId="2" fontId="2" fillId="0" borderId="40" xfId="0" applyNumberFormat="1" applyFont="1" applyBorder="1" applyAlignment="1" applyProtection="1">
      <alignment horizontal="center" vertical="top"/>
    </xf>
    <xf numFmtId="2" fontId="2" fillId="0" borderId="41" xfId="0" applyNumberFormat="1" applyFont="1" applyBorder="1" applyAlignment="1" applyProtection="1">
      <alignment horizontal="center" vertical="top"/>
    </xf>
    <xf numFmtId="0" fontId="3" fillId="0" borderId="0" xfId="0" applyFont="1" applyBorder="1" applyAlignment="1">
      <alignment horizontal="left" vertical="center" wrapText="1"/>
    </xf>
    <xf numFmtId="0" fontId="0" fillId="0" borderId="0" xfId="0" applyAlignment="1">
      <alignment horizontal="center"/>
    </xf>
    <xf numFmtId="0" fontId="8" fillId="0" borderId="0" xfId="0" applyFont="1" applyAlignment="1"/>
    <xf numFmtId="0" fontId="2" fillId="0" borderId="0" xfId="0" applyFont="1" applyAlignment="1">
      <alignment horizontal="right"/>
    </xf>
    <xf numFmtId="0" fontId="2" fillId="0" borderId="2" xfId="0" applyFont="1" applyBorder="1" applyAlignme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16"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3" fillId="0" borderId="0" xfId="0" applyFont="1" applyBorder="1" applyAlignment="1">
      <alignment horizontal="center" vertical="top" wrapText="1"/>
    </xf>
    <xf numFmtId="0" fontId="2" fillId="0" borderId="25"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30" xfId="0" applyFont="1" applyBorder="1" applyAlignment="1">
      <alignment horizontal="center" vertical="top" wrapText="1"/>
    </xf>
    <xf numFmtId="0" fontId="2" fillId="0" borderId="16"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45" xfId="0" applyFont="1" applyBorder="1" applyAlignment="1">
      <alignment horizontal="center" vertical="top" wrapText="1"/>
    </xf>
    <xf numFmtId="0" fontId="3" fillId="0" borderId="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2" fillId="0" borderId="56" xfId="0" applyFont="1" applyBorder="1" applyAlignment="1">
      <alignment horizontal="center" vertical="top" wrapText="1"/>
    </xf>
    <xf numFmtId="0" fontId="2" fillId="0" borderId="28" xfId="0" applyFont="1" applyBorder="1" applyAlignment="1">
      <alignment horizontal="center" vertical="center" wrapText="1"/>
    </xf>
    <xf numFmtId="0" fontId="2" fillId="0" borderId="56" xfId="0" applyFont="1" applyBorder="1" applyAlignment="1">
      <alignment horizontal="center" vertical="center" wrapText="1"/>
    </xf>
    <xf numFmtId="0" fontId="33" fillId="0" borderId="0" xfId="0" applyFont="1" applyAlignment="1">
      <alignment vertical="top"/>
    </xf>
    <xf numFmtId="0" fontId="2" fillId="0" borderId="3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4" fontId="34" fillId="0" borderId="0" xfId="0" applyNumberFormat="1" applyFont="1" applyFill="1" applyBorder="1" applyAlignment="1" applyProtection="1">
      <alignment horizontal="center" vertical="top"/>
    </xf>
    <xf numFmtId="2" fontId="3" fillId="0" borderId="0" xfId="0" applyNumberFormat="1" applyFont="1" applyBorder="1" applyAlignment="1" applyProtection="1">
      <alignment vertical="top"/>
    </xf>
    <xf numFmtId="0" fontId="13" fillId="0" borderId="0" xfId="0" applyFont="1" applyAlignment="1" applyProtection="1">
      <alignment vertical="top"/>
    </xf>
    <xf numFmtId="0" fontId="13" fillId="0" borderId="0" xfId="0" applyFont="1" applyBorder="1" applyAlignment="1" applyProtection="1">
      <alignment vertical="top"/>
    </xf>
    <xf numFmtId="2" fontId="2" fillId="0" borderId="13" xfId="0" applyNumberFormat="1" applyFont="1" applyFill="1" applyBorder="1" applyAlignment="1">
      <alignment horizontal="center" vertical="center" wrapText="1"/>
    </xf>
    <xf numFmtId="2" fontId="2" fillId="0" borderId="14" xfId="0" applyNumberFormat="1" applyFont="1" applyFill="1" applyBorder="1" applyAlignment="1">
      <alignment horizontal="center" vertical="center" wrapText="1"/>
    </xf>
    <xf numFmtId="2" fontId="2" fillId="0" borderId="30" xfId="0" applyNumberFormat="1" applyFont="1" applyFill="1" applyBorder="1" applyAlignment="1">
      <alignment horizontal="center" vertical="center" wrapText="1"/>
    </xf>
    <xf numFmtId="4" fontId="13" fillId="0" borderId="0" xfId="0" applyNumberFormat="1" applyFont="1" applyFill="1" applyBorder="1" applyAlignment="1" applyProtection="1">
      <alignment horizontal="left" vertical="top"/>
    </xf>
    <xf numFmtId="2" fontId="2" fillId="0" borderId="0" xfId="0" applyNumberFormat="1" applyFont="1" applyFill="1" applyBorder="1" applyAlignment="1">
      <alignment horizontal="center" vertical="center" wrapText="1"/>
    </xf>
    <xf numFmtId="2" fontId="2" fillId="0" borderId="45" xfId="0" applyNumberFormat="1" applyFont="1" applyFill="1" applyBorder="1" applyAlignment="1" applyProtection="1">
      <alignment horizontal="center" vertical="top" wrapText="1"/>
    </xf>
    <xf numFmtId="0" fontId="2" fillId="0" borderId="35" xfId="0" applyFont="1" applyBorder="1" applyAlignment="1" applyProtection="1">
      <alignment horizontal="center" vertical="top"/>
    </xf>
    <xf numFmtId="0" fontId="2" fillId="0" borderId="36" xfId="0" applyFont="1" applyBorder="1" applyAlignment="1" applyProtection="1">
      <alignment horizontal="center" vertical="top"/>
    </xf>
    <xf numFmtId="0" fontId="2" fillId="0" borderId="37" xfId="0" applyFont="1" applyBorder="1" applyAlignment="1" applyProtection="1">
      <alignment horizontal="center" vertical="top"/>
    </xf>
    <xf numFmtId="2" fontId="2" fillId="0" borderId="5" xfId="0" applyNumberFormat="1" applyFont="1" applyBorder="1" applyAlignment="1" applyProtection="1">
      <alignment horizontal="center" vertical="top"/>
    </xf>
    <xf numFmtId="2" fontId="2" fillId="0" borderId="6" xfId="0" applyNumberFormat="1" applyFont="1" applyBorder="1" applyAlignment="1" applyProtection="1">
      <alignment horizontal="center" vertical="top"/>
    </xf>
    <xf numFmtId="2" fontId="2" fillId="0" borderId="42" xfId="0" applyNumberFormat="1" applyFont="1" applyBorder="1" applyAlignment="1" applyProtection="1">
      <alignment horizontal="center" vertical="top"/>
    </xf>
    <xf numFmtId="2" fontId="2" fillId="0" borderId="7" xfId="0" applyNumberFormat="1" applyFont="1" applyFill="1" applyBorder="1" applyAlignment="1" applyProtection="1">
      <alignment horizontal="center" vertical="top" wrapText="1"/>
    </xf>
    <xf numFmtId="2" fontId="3" fillId="0" borderId="35" xfId="0" applyNumberFormat="1" applyFont="1" applyFill="1" applyBorder="1" applyAlignment="1" applyProtection="1">
      <alignment horizontal="center" vertical="top" wrapText="1"/>
    </xf>
    <xf numFmtId="0" fontId="3" fillId="0" borderId="37" xfId="0" applyNumberFormat="1" applyFont="1" applyFill="1" applyBorder="1" applyAlignment="1" applyProtection="1">
      <alignment horizontal="center" wrapText="1"/>
    </xf>
    <xf numFmtId="0" fontId="3" fillId="0" borderId="22" xfId="0" applyFont="1" applyFill="1" applyBorder="1" applyAlignment="1" applyProtection="1">
      <alignment vertical="top"/>
    </xf>
    <xf numFmtId="0" fontId="3" fillId="0" borderId="57" xfId="0" applyFont="1" applyFill="1" applyBorder="1" applyAlignment="1" applyProtection="1">
      <alignment vertical="top"/>
    </xf>
    <xf numFmtId="0" fontId="3" fillId="0" borderId="53" xfId="0" applyFont="1" applyFill="1" applyBorder="1" applyAlignment="1" applyProtection="1">
      <alignment vertical="top"/>
    </xf>
    <xf numFmtId="2" fontId="2" fillId="0" borderId="58" xfId="0" applyNumberFormat="1" applyFont="1" applyFill="1" applyBorder="1" applyAlignment="1" applyProtection="1">
      <alignment vertical="top"/>
    </xf>
    <xf numFmtId="2" fontId="2" fillId="0" borderId="59" xfId="0" applyNumberFormat="1" applyFont="1" applyFill="1" applyBorder="1" applyAlignment="1" applyProtection="1">
      <alignment vertical="top"/>
    </xf>
    <xf numFmtId="2" fontId="2" fillId="0" borderId="60" xfId="0" applyNumberFormat="1" applyFont="1" applyFill="1" applyBorder="1" applyAlignment="1" applyProtection="1">
      <alignment vertical="top"/>
    </xf>
    <xf numFmtId="2" fontId="2" fillId="0" borderId="7" xfId="0" applyNumberFormat="1" applyFont="1" applyFill="1" applyBorder="1" applyAlignment="1" applyProtection="1">
      <alignment vertical="top"/>
    </xf>
    <xf numFmtId="2" fontId="2" fillId="0" borderId="45" xfId="0" applyNumberFormat="1" applyFont="1" applyFill="1" applyBorder="1" applyAlignment="1" applyProtection="1">
      <alignment vertical="top"/>
    </xf>
    <xf numFmtId="2" fontId="3" fillId="0" borderId="5" xfId="0" applyNumberFormat="1" applyFont="1" applyFill="1" applyBorder="1" applyAlignment="1" applyProtection="1">
      <alignment horizontal="center" vertical="top" wrapText="1"/>
    </xf>
    <xf numFmtId="0" fontId="3" fillId="0" borderId="42" xfId="0" applyNumberFormat="1" applyFont="1" applyFill="1" applyBorder="1" applyAlignment="1" applyProtection="1">
      <alignment horizontal="center" wrapText="1"/>
    </xf>
    <xf numFmtId="0" fontId="3" fillId="0" borderId="7" xfId="0" applyFont="1" applyFill="1" applyBorder="1" applyAlignment="1" applyProtection="1">
      <alignment horizontal="center" vertical="top"/>
    </xf>
    <xf numFmtId="14" fontId="29" fillId="0" borderId="0" xfId="0" applyNumberFormat="1" applyFont="1" applyFill="1" applyBorder="1" applyAlignment="1">
      <alignment horizontal="left" vertical="top" wrapText="1"/>
    </xf>
    <xf numFmtId="0" fontId="3" fillId="0" borderId="0" xfId="0" applyFont="1" applyBorder="1" applyAlignment="1" applyProtection="1">
      <alignment horizontal="center" vertical="center"/>
    </xf>
    <xf numFmtId="164" fontId="13" fillId="0" borderId="8" xfId="0" applyNumberFormat="1" applyFont="1" applyBorder="1" applyAlignment="1" applyProtection="1">
      <alignment horizontal="center" vertical="top"/>
    </xf>
    <xf numFmtId="164" fontId="2" fillId="0" borderId="13" xfId="0" applyNumberFormat="1" applyFont="1" applyBorder="1" applyAlignment="1" applyProtection="1">
      <alignment horizontal="center" vertical="center" wrapText="1"/>
    </xf>
    <xf numFmtId="164" fontId="2" fillId="0" borderId="13" xfId="0" applyNumberFormat="1" applyFont="1" applyBorder="1" applyAlignment="1" applyProtection="1">
      <alignment horizontal="center" vertical="center"/>
    </xf>
    <xf numFmtId="164" fontId="2" fillId="0" borderId="14" xfId="0" applyNumberFormat="1" applyFont="1" applyBorder="1" applyAlignment="1" applyProtection="1">
      <alignment horizontal="center" vertical="center"/>
    </xf>
    <xf numFmtId="0" fontId="3" fillId="0" borderId="32" xfId="0" applyFont="1" applyBorder="1" applyAlignment="1" applyProtection="1">
      <alignment horizontal="center" vertical="top" wrapText="1"/>
    </xf>
    <xf numFmtId="165" fontId="2" fillId="0" borderId="2" xfId="0" applyNumberFormat="1" applyFont="1" applyBorder="1" applyAlignment="1" applyProtection="1">
      <alignment horizontal="center" vertical="top" wrapText="1"/>
    </xf>
    <xf numFmtId="2" fontId="2" fillId="0" borderId="0" xfId="0" applyNumberFormat="1" applyFont="1" applyBorder="1" applyAlignment="1" applyProtection="1">
      <alignment horizontal="center" vertical="top" wrapText="1"/>
    </xf>
    <xf numFmtId="2" fontId="2" fillId="0" borderId="35" xfId="0" applyNumberFormat="1" applyFont="1" applyBorder="1" applyAlignment="1" applyProtection="1">
      <alignment horizontal="center" vertical="top" wrapText="1"/>
    </xf>
    <xf numFmtId="2" fontId="2" fillId="0" borderId="36" xfId="0" applyNumberFormat="1" applyFont="1" applyBorder="1" applyAlignment="1" applyProtection="1">
      <alignment horizontal="center" vertical="top" wrapText="1"/>
    </xf>
    <xf numFmtId="2" fontId="2" fillId="0" borderId="37" xfId="0" applyNumberFormat="1" applyFont="1" applyBorder="1" applyAlignment="1" applyProtection="1">
      <alignment horizontal="center" vertical="top" wrapText="1"/>
    </xf>
    <xf numFmtId="0" fontId="2" fillId="0" borderId="16"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2" fontId="2" fillId="0" borderId="35" xfId="0" applyNumberFormat="1" applyFont="1" applyBorder="1" applyAlignment="1" applyProtection="1">
      <alignment horizontal="center" vertical="center" wrapText="1"/>
    </xf>
    <xf numFmtId="2" fontId="2" fillId="0" borderId="36" xfId="0" applyNumberFormat="1" applyFont="1" applyBorder="1" applyAlignment="1" applyProtection="1">
      <alignment horizontal="center" vertical="center" wrapText="1"/>
    </xf>
    <xf numFmtId="2" fontId="2" fillId="0" borderId="37" xfId="0" applyNumberFormat="1" applyFont="1" applyBorder="1" applyAlignment="1" applyProtection="1">
      <alignment horizontal="center" vertical="center" wrapText="1"/>
    </xf>
    <xf numFmtId="0" fontId="3" fillId="0" borderId="0" xfId="0" applyFont="1" applyBorder="1" applyAlignment="1" applyProtection="1">
      <alignment horizontal="right" vertical="top"/>
    </xf>
    <xf numFmtId="4" fontId="2" fillId="0" borderId="0" xfId="0" applyNumberFormat="1" applyFont="1" applyFill="1" applyBorder="1" applyAlignment="1" applyProtection="1">
      <alignment vertical="top" wrapText="1"/>
    </xf>
    <xf numFmtId="0" fontId="0" fillId="0" borderId="0" xfId="0" applyFill="1">
      <alignment vertical="top" wrapText="1"/>
    </xf>
    <xf numFmtId="0" fontId="3" fillId="0" borderId="15" xfId="0" applyFont="1" applyBorder="1" applyAlignment="1">
      <alignment vertical="top"/>
    </xf>
    <xf numFmtId="0" fontId="3" fillId="0" borderId="15" xfId="0" applyFont="1" applyBorder="1" applyAlignment="1">
      <alignment horizontal="center" vertical="top"/>
    </xf>
    <xf numFmtId="167" fontId="2" fillId="0" borderId="15" xfId="0" applyNumberFormat="1" applyFont="1" applyBorder="1" applyAlignment="1" applyProtection="1"/>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166" fontId="2" fillId="0" borderId="2" xfId="0" applyNumberFormat="1" applyFont="1" applyFill="1" applyBorder="1" applyAlignment="1" applyProtection="1">
      <alignment horizontal="center" vertical="center" wrapText="1"/>
    </xf>
    <xf numFmtId="0" fontId="15" fillId="0" borderId="0" xfId="0" quotePrefix="1" applyFont="1" applyFill="1" applyAlignment="1">
      <alignment vertical="top" wrapText="1"/>
    </xf>
    <xf numFmtId="166" fontId="2" fillId="0" borderId="0" xfId="2" applyNumberFormat="1" applyFont="1" applyFill="1" applyBorder="1" applyAlignment="1">
      <alignment horizontal="center" vertical="center"/>
    </xf>
    <xf numFmtId="0" fontId="2" fillId="0" borderId="0" xfId="2" applyFont="1" applyBorder="1" applyAlignment="1">
      <alignment horizontal="center"/>
    </xf>
    <xf numFmtId="0" fontId="3" fillId="0" borderId="0" xfId="0" applyFont="1" applyFill="1" applyBorder="1" applyAlignment="1" applyProtection="1">
      <alignment horizontal="left" wrapText="1"/>
    </xf>
    <xf numFmtId="0" fontId="3" fillId="0" borderId="36" xfId="0" applyFont="1" applyBorder="1" applyAlignment="1" applyProtection="1">
      <alignment horizontal="center" vertical="top" wrapText="1"/>
    </xf>
    <xf numFmtId="1" fontId="2" fillId="0" borderId="13" xfId="0" applyNumberFormat="1" applyFont="1" applyBorder="1" applyAlignment="1" applyProtection="1">
      <alignment horizontal="center" vertical="center"/>
    </xf>
    <xf numFmtId="0" fontId="2" fillId="0" borderId="15" xfId="0" applyFont="1" applyBorder="1" applyAlignment="1">
      <alignment horizontal="center" vertical="center" wrapText="1"/>
    </xf>
    <xf numFmtId="2" fontId="2" fillId="0" borderId="46" xfId="0" applyNumberFormat="1" applyFont="1" applyBorder="1" applyAlignment="1" applyProtection="1">
      <alignment horizontal="center" vertical="top"/>
    </xf>
    <xf numFmtId="171" fontId="2" fillId="0" borderId="13" xfId="0" applyNumberFormat="1" applyFont="1" applyBorder="1" applyAlignment="1" applyProtection="1">
      <alignment horizontal="center" vertical="top"/>
    </xf>
    <xf numFmtId="171" fontId="2" fillId="0" borderId="14" xfId="0" applyNumberFormat="1" applyFont="1" applyBorder="1" applyAlignment="1" applyProtection="1">
      <alignment horizontal="center" vertical="top"/>
    </xf>
    <xf numFmtId="171" fontId="2" fillId="0" borderId="2" xfId="0" applyNumberFormat="1" applyFont="1" applyBorder="1" applyAlignment="1" applyProtection="1">
      <alignment horizontal="center" vertical="top"/>
    </xf>
    <xf numFmtId="171" fontId="2" fillId="0" borderId="25" xfId="0" applyNumberFormat="1" applyFont="1" applyBorder="1" applyAlignment="1" applyProtection="1">
      <alignment horizontal="center" vertical="top"/>
    </xf>
    <xf numFmtId="171" fontId="2" fillId="0" borderId="11" xfId="0" applyNumberFormat="1" applyFont="1" applyBorder="1" applyAlignment="1" applyProtection="1">
      <alignment horizontal="center" vertical="top"/>
    </xf>
    <xf numFmtId="171" fontId="2" fillId="0" borderId="30" xfId="0" applyNumberFormat="1" applyFont="1" applyBorder="1" applyAlignment="1" applyProtection="1">
      <alignment horizontal="center" vertical="top"/>
    </xf>
    <xf numFmtId="9" fontId="15" fillId="0" borderId="13" xfId="3" applyFont="1" applyBorder="1" applyAlignment="1" applyProtection="1">
      <alignment horizontal="center" vertical="center"/>
    </xf>
    <xf numFmtId="9" fontId="15" fillId="0" borderId="2" xfId="3" applyFont="1" applyBorder="1" applyAlignment="1" applyProtection="1">
      <alignment horizontal="center" vertical="center"/>
    </xf>
    <xf numFmtId="9" fontId="15" fillId="0" borderId="11" xfId="3" applyFont="1" applyBorder="1" applyAlignment="1" applyProtection="1">
      <alignment horizontal="center" vertical="center"/>
    </xf>
    <xf numFmtId="9" fontId="15" fillId="0" borderId="14" xfId="3" applyFont="1" applyBorder="1" applyAlignment="1" applyProtection="1">
      <alignment horizontal="center" vertical="center"/>
    </xf>
    <xf numFmtId="9" fontId="15" fillId="0" borderId="25" xfId="3" applyFont="1" applyBorder="1" applyAlignment="1" applyProtection="1">
      <alignment horizontal="center" vertical="center"/>
    </xf>
    <xf numFmtId="9" fontId="15" fillId="0" borderId="30" xfId="3" applyFont="1" applyBorder="1" applyAlignment="1" applyProtection="1">
      <alignment horizontal="center" vertical="center"/>
    </xf>
    <xf numFmtId="2" fontId="32" fillId="0" borderId="0" xfId="0" applyNumberFormat="1" applyFont="1" applyFill="1" applyBorder="1" applyAlignment="1">
      <alignment horizontal="center" vertical="center" wrapText="1"/>
    </xf>
    <xf numFmtId="1" fontId="2" fillId="0" borderId="0" xfId="0" applyNumberFormat="1" applyFont="1" applyFill="1" applyAlignment="1" applyProtection="1">
      <alignment horizontal="left" vertical="top"/>
    </xf>
    <xf numFmtId="10" fontId="2" fillId="0" borderId="0" xfId="0" applyNumberFormat="1" applyFont="1" applyBorder="1" applyAlignment="1" applyProtection="1">
      <alignment horizontal="center" vertical="top" wrapText="1"/>
    </xf>
    <xf numFmtId="0" fontId="3" fillId="0" borderId="61" xfId="0" applyFont="1" applyBorder="1" applyAlignment="1" applyProtection="1">
      <alignment vertical="top"/>
    </xf>
    <xf numFmtId="0" fontId="15" fillId="0" borderId="0" xfId="0" applyFont="1" applyAlignment="1" applyProtection="1">
      <alignment horizontal="center"/>
    </xf>
    <xf numFmtId="2" fontId="32" fillId="3" borderId="13" xfId="0" applyNumberFormat="1" applyFont="1" applyFill="1" applyBorder="1" applyAlignment="1" applyProtection="1">
      <alignment horizontal="center" vertical="center" wrapText="1"/>
      <protection locked="0"/>
    </xf>
    <xf numFmtId="2" fontId="32" fillId="3" borderId="14" xfId="0" applyNumberFormat="1" applyFont="1" applyFill="1" applyBorder="1" applyAlignment="1" applyProtection="1">
      <alignment horizontal="center" vertical="center" wrapText="1"/>
      <protection locked="0"/>
    </xf>
    <xf numFmtId="2" fontId="32" fillId="3" borderId="2" xfId="0" applyNumberFormat="1" applyFont="1" applyFill="1" applyBorder="1" applyAlignment="1" applyProtection="1">
      <alignment horizontal="center" vertical="center" wrapText="1"/>
      <protection locked="0"/>
    </xf>
    <xf numFmtId="2" fontId="32" fillId="3" borderId="25" xfId="0" applyNumberFormat="1" applyFont="1" applyFill="1" applyBorder="1" applyAlignment="1" applyProtection="1">
      <alignment horizontal="center" vertical="center" wrapText="1"/>
      <protection locked="0"/>
    </xf>
    <xf numFmtId="2" fontId="32" fillId="3" borderId="11" xfId="0" applyNumberFormat="1" applyFont="1" applyFill="1" applyBorder="1" applyAlignment="1" applyProtection="1">
      <alignment horizontal="center" vertical="center" wrapText="1"/>
      <protection locked="0"/>
    </xf>
    <xf numFmtId="2" fontId="32" fillId="3" borderId="30" xfId="0" applyNumberFormat="1" applyFont="1" applyFill="1" applyBorder="1" applyAlignment="1" applyProtection="1">
      <alignment horizontal="center" vertical="center" wrapText="1"/>
      <protection locked="0"/>
    </xf>
    <xf numFmtId="166" fontId="16" fillId="0" borderId="9"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0" fontId="16" fillId="0" borderId="2" xfId="0" applyFont="1" applyFill="1" applyBorder="1" applyAlignment="1">
      <alignment horizontal="left" vertical="top" wrapText="1"/>
    </xf>
    <xf numFmtId="0" fontId="15" fillId="0" borderId="0" xfId="0" quotePrefix="1" applyFont="1" applyFill="1" applyAlignment="1">
      <alignment horizontal="left" vertical="top" wrapText="1"/>
    </xf>
    <xf numFmtId="0" fontId="15" fillId="0" borderId="0" xfId="0" applyFont="1" applyAlignment="1">
      <alignment horizontal="left" vertical="center" wrapText="1"/>
    </xf>
    <xf numFmtId="0" fontId="15" fillId="0" borderId="0" xfId="0" quotePrefix="1" applyFont="1" applyFill="1" applyBorder="1" applyAlignment="1">
      <alignment horizontal="left" vertical="top" wrapText="1"/>
    </xf>
    <xf numFmtId="0" fontId="15" fillId="0" borderId="0" xfId="0" applyFont="1" applyAlignment="1">
      <alignment horizontal="left" vertical="top" wrapText="1"/>
    </xf>
    <xf numFmtId="0" fontId="15" fillId="0" borderId="0" xfId="1" quotePrefix="1" applyFont="1" applyFill="1" applyAlignment="1">
      <alignment horizontal="left" vertical="top" wrapText="1"/>
    </xf>
    <xf numFmtId="0" fontId="14" fillId="0" borderId="0" xfId="0" applyFont="1" applyFill="1" applyAlignment="1">
      <alignment horizontal="center"/>
    </xf>
    <xf numFmtId="0" fontId="15" fillId="0" borderId="0" xfId="0" applyFont="1" applyFill="1" applyAlignment="1">
      <alignment horizontal="left" vertical="top" wrapText="1"/>
    </xf>
    <xf numFmtId="0" fontId="15" fillId="0" borderId="0" xfId="0" quotePrefix="1" applyFont="1" applyAlignment="1">
      <alignment horizontal="left" vertical="top" wrapText="1"/>
    </xf>
    <xf numFmtId="0" fontId="0" fillId="0" borderId="11" xfId="0" applyFill="1" applyBorder="1" applyAlignment="1">
      <alignment horizontal="left" vertical="top" wrapText="1"/>
    </xf>
    <xf numFmtId="0" fontId="0" fillId="0" borderId="30" xfId="0" applyFill="1" applyBorder="1" applyAlignment="1">
      <alignment horizontal="left" vertical="top" wrapText="1"/>
    </xf>
    <xf numFmtId="0" fontId="3" fillId="0" borderId="6" xfId="0" applyFont="1" applyFill="1" applyBorder="1" applyAlignment="1">
      <alignment horizontal="center" vertical="center"/>
    </xf>
    <xf numFmtId="0" fontId="3" fillId="0" borderId="42" xfId="0" applyFont="1" applyFill="1" applyBorder="1" applyAlignment="1">
      <alignment horizontal="center" vertical="center"/>
    </xf>
    <xf numFmtId="0" fontId="16" fillId="0" borderId="8"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0" borderId="2" xfId="0" applyFont="1" applyFill="1" applyBorder="1" applyAlignment="1">
      <alignment horizontal="left" vertical="top" wrapText="1"/>
    </xf>
    <xf numFmtId="0" fontId="16" fillId="0" borderId="25"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5" xfId="0" applyFill="1" applyBorder="1" applyAlignment="1">
      <alignment horizontal="left" vertical="top" wrapText="1"/>
    </xf>
    <xf numFmtId="0" fontId="15" fillId="0" borderId="0" xfId="0" applyFont="1" applyAlignment="1">
      <alignment vertical="top" wrapText="1"/>
    </xf>
    <xf numFmtId="14" fontId="29" fillId="0" borderId="0" xfId="0" applyNumberFormat="1" applyFont="1" applyFill="1" applyBorder="1" applyAlignment="1">
      <alignment horizontal="left" vertical="top" wrapText="1"/>
    </xf>
    <xf numFmtId="0" fontId="23" fillId="0" borderId="0" xfId="0" applyFont="1" applyFill="1" applyAlignment="1">
      <alignment horizontal="left" vertical="top" wrapText="1"/>
    </xf>
    <xf numFmtId="14" fontId="23" fillId="0" borderId="0" xfId="0" applyNumberFormat="1" applyFont="1" applyFill="1" applyBorder="1" applyAlignment="1">
      <alignment horizontal="left" vertical="top" wrapText="1"/>
    </xf>
    <xf numFmtId="0" fontId="8" fillId="0" borderId="0" xfId="1" applyFont="1" applyAlignment="1">
      <alignment horizontal="center"/>
    </xf>
    <xf numFmtId="0" fontId="8" fillId="0" borderId="0" xfId="0" applyFont="1" applyAlignment="1">
      <alignment horizontal="center" vertical="top" wrapText="1"/>
    </xf>
    <xf numFmtId="2" fontId="31" fillId="3" borderId="18" xfId="0" applyNumberFormat="1" applyFont="1" applyFill="1" applyBorder="1" applyAlignment="1">
      <alignment horizontal="left" vertical="center"/>
    </xf>
    <xf numFmtId="2" fontId="31" fillId="3" borderId="62" xfId="0" applyNumberFormat="1" applyFont="1" applyFill="1" applyBorder="1" applyAlignment="1">
      <alignment horizontal="left" vertical="center"/>
    </xf>
    <xf numFmtId="2" fontId="31" fillId="3" borderId="59" xfId="0" applyNumberFormat="1" applyFont="1" applyFill="1" applyBorder="1" applyAlignment="1">
      <alignment horizontal="left" vertical="center"/>
    </xf>
    <xf numFmtId="0" fontId="2" fillId="0" borderId="0" xfId="0" quotePrefix="1" applyFont="1" applyFill="1" applyBorder="1" applyAlignment="1">
      <alignment horizontal="left" wrapText="1"/>
    </xf>
    <xf numFmtId="0" fontId="2" fillId="0" borderId="0" xfId="0" quotePrefix="1" applyFont="1" applyAlignment="1">
      <alignment horizontal="left" wrapText="1"/>
    </xf>
    <xf numFmtId="2" fontId="3" fillId="0" borderId="55" xfId="0" applyNumberFormat="1" applyFont="1" applyFill="1" applyBorder="1" applyAlignment="1" applyProtection="1">
      <alignment horizontal="center"/>
      <protection locked="0"/>
    </xf>
    <xf numFmtId="2" fontId="3" fillId="0" borderId="63" xfId="0" applyNumberFormat="1" applyFont="1" applyFill="1" applyBorder="1" applyAlignment="1" applyProtection="1">
      <alignment horizontal="center"/>
      <protection locked="0"/>
    </xf>
    <xf numFmtId="2" fontId="3" fillId="0" borderId="64" xfId="0" applyNumberFormat="1" applyFont="1" applyFill="1" applyBorder="1" applyAlignment="1" applyProtection="1">
      <alignment horizontal="center"/>
      <protection locked="0"/>
    </xf>
    <xf numFmtId="0" fontId="9" fillId="0" borderId="35" xfId="0" applyFont="1" applyBorder="1" applyAlignment="1">
      <alignment horizontal="center" vertical="center" wrapText="1"/>
    </xf>
    <xf numFmtId="0" fontId="9" fillId="0" borderId="50" xfId="0"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center" vertical="top" wrapText="1"/>
    </xf>
    <xf numFmtId="0" fontId="8" fillId="0" borderId="0" xfId="0" applyFont="1" applyAlignment="1">
      <alignment horizontal="center" vertical="top"/>
    </xf>
    <xf numFmtId="0" fontId="18" fillId="0" borderId="37" xfId="0" applyFont="1" applyBorder="1" applyAlignment="1">
      <alignment horizontal="center" vertical="center"/>
    </xf>
    <xf numFmtId="0" fontId="18" fillId="0" borderId="51" xfId="0" applyFont="1" applyBorder="1" applyAlignment="1">
      <alignment horizontal="center" vertical="center"/>
    </xf>
    <xf numFmtId="0" fontId="2" fillId="0" borderId="0" xfId="0" applyFont="1" applyBorder="1" applyAlignment="1">
      <alignment horizontal="left" wrapText="1"/>
    </xf>
    <xf numFmtId="0" fontId="2" fillId="0" borderId="4" xfId="0" applyFont="1" applyBorder="1" applyAlignment="1">
      <alignment horizontal="left" wrapText="1"/>
    </xf>
    <xf numFmtId="0" fontId="2" fillId="0" borderId="0" xfId="0" applyFont="1" applyAlignment="1">
      <alignment horizontal="left" wrapText="1"/>
    </xf>
    <xf numFmtId="0" fontId="2" fillId="0" borderId="0" xfId="0" applyFont="1" applyBorder="1" applyAlignment="1" applyProtection="1">
      <alignment horizontal="left" vertical="top"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top" wrapText="1"/>
    </xf>
    <xf numFmtId="0" fontId="2" fillId="0" borderId="3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6" xfId="0" applyFont="1" applyBorder="1" applyAlignment="1">
      <alignment horizontal="center" vertical="center" wrapText="1"/>
    </xf>
    <xf numFmtId="0" fontId="3" fillId="0" borderId="0" xfId="0" applyFont="1" applyFill="1" applyBorder="1" applyAlignment="1">
      <alignment horizontal="center" vertical="center"/>
    </xf>
    <xf numFmtId="0" fontId="2" fillId="0" borderId="37"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0" xfId="0" applyFont="1" applyBorder="1" applyAlignment="1">
      <alignment horizontal="center" vertical="center"/>
    </xf>
    <xf numFmtId="0" fontId="2" fillId="0" borderId="30" xfId="0" applyFont="1" applyBorder="1" applyAlignment="1">
      <alignment horizontal="center"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9" xfId="0" applyFont="1" applyBorder="1" applyAlignment="1">
      <alignment vertical="center"/>
    </xf>
    <xf numFmtId="0" fontId="2" fillId="0" borderId="25" xfId="0" applyFont="1" applyBorder="1" applyAlignment="1">
      <alignment vertical="center"/>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quotePrefix="1" applyFont="1" applyBorder="1" applyAlignment="1">
      <alignment horizontal="center" vertical="center" wrapText="1"/>
    </xf>
    <xf numFmtId="0" fontId="2" fillId="0" borderId="25" xfId="0" applyFont="1" applyBorder="1" applyAlignment="1">
      <alignment horizontal="center" vertical="center" wrapTex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2" fillId="0" borderId="10" xfId="0" quotePrefix="1" applyFont="1" applyBorder="1" applyAlignment="1">
      <alignment horizontal="center" vertical="center" wrapText="1"/>
    </xf>
    <xf numFmtId="0" fontId="2" fillId="0" borderId="30" xfId="0" applyFont="1" applyBorder="1" applyAlignment="1">
      <alignment horizontal="center" vertical="center" wrapText="1"/>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3" fillId="0" borderId="55"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2" fillId="0" borderId="32"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65" xfId="0" applyFont="1" applyBorder="1" applyAlignment="1">
      <alignment horizontal="center" vertical="center" wrapText="1"/>
    </xf>
    <xf numFmtId="2" fontId="2" fillId="0" borderId="9" xfId="0" applyNumberFormat="1" applyFont="1" applyBorder="1" applyAlignment="1">
      <alignment horizontal="left" vertical="center" wrapText="1"/>
    </xf>
    <xf numFmtId="2" fontId="2" fillId="0" borderId="2" xfId="0" applyNumberFormat="1" applyFont="1" applyBorder="1" applyAlignment="1">
      <alignment horizontal="left" vertical="center" wrapText="1"/>
    </xf>
    <xf numFmtId="2" fontId="2" fillId="0" borderId="25" xfId="0" applyNumberFormat="1"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30" xfId="0" applyFont="1" applyBorder="1" applyAlignment="1">
      <alignment horizontal="left" vertical="center" wrapText="1"/>
    </xf>
    <xf numFmtId="0" fontId="2" fillId="0" borderId="10" xfId="0" applyFont="1" applyBorder="1" applyAlignment="1">
      <alignment horizontal="center" vertical="center" wrapText="1"/>
    </xf>
    <xf numFmtId="0" fontId="3" fillId="0" borderId="5" xfId="0" applyFont="1" applyBorder="1" applyAlignment="1">
      <alignment horizontal="center" vertical="center"/>
    </xf>
    <xf numFmtId="0" fontId="3" fillId="0" borderId="42" xfId="0" applyFont="1" applyBorder="1" applyAlignment="1">
      <alignment horizontal="center" vertical="center"/>
    </xf>
    <xf numFmtId="0" fontId="2" fillId="0" borderId="7" xfId="0" applyFont="1" applyBorder="1" applyAlignment="1">
      <alignment vertical="center"/>
    </xf>
    <xf numFmtId="0" fontId="2" fillId="0" borderId="45" xfId="0" applyFont="1" applyBorder="1" applyAlignment="1">
      <alignment vertical="center"/>
    </xf>
    <xf numFmtId="0" fontId="2" fillId="0" borderId="34"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40" xfId="0" quotePrefix="1" applyFont="1" applyBorder="1" applyAlignment="1">
      <alignment horizontal="center" vertical="center" wrapText="1"/>
    </xf>
    <xf numFmtId="0" fontId="2" fillId="0" borderId="41" xfId="0" applyFont="1" applyBorder="1" applyAlignment="1">
      <alignment horizontal="center" vertical="center" wrapText="1"/>
    </xf>
    <xf numFmtId="0" fontId="3" fillId="0" borderId="38" xfId="0" applyFont="1" applyBorder="1" applyAlignment="1">
      <alignment horizontal="center" vertical="center"/>
    </xf>
    <xf numFmtId="0" fontId="3" fillId="0" borderId="23" xfId="0" applyFont="1" applyBorder="1" applyAlignment="1">
      <alignment horizontal="center" vertical="center"/>
    </xf>
    <xf numFmtId="0" fontId="3" fillId="0" borderId="43" xfId="0" applyFont="1" applyBorder="1" applyAlignment="1">
      <alignment horizontal="center" vertical="center"/>
    </xf>
    <xf numFmtId="2" fontId="2" fillId="0" borderId="10" xfId="0" applyNumberFormat="1" applyFont="1" applyBorder="1" applyAlignment="1">
      <alignment horizontal="left" vertical="center" wrapText="1"/>
    </xf>
    <xf numFmtId="2" fontId="2" fillId="0" borderId="11" xfId="0" applyNumberFormat="1" applyFont="1" applyBorder="1" applyAlignment="1">
      <alignment horizontal="left" vertical="center" wrapText="1"/>
    </xf>
    <xf numFmtId="2" fontId="2" fillId="0" borderId="30" xfId="0" applyNumberFormat="1" applyFont="1" applyBorder="1" applyAlignment="1">
      <alignment horizontal="left" vertical="center" wrapText="1"/>
    </xf>
    <xf numFmtId="2" fontId="2" fillId="0" borderId="16" xfId="0" applyNumberFormat="1" applyFont="1" applyBorder="1" applyAlignment="1">
      <alignment horizontal="left" vertical="center" wrapText="1"/>
    </xf>
    <xf numFmtId="2" fontId="2" fillId="0" borderId="13" xfId="0" applyNumberFormat="1" applyFont="1" applyBorder="1" applyAlignment="1">
      <alignment horizontal="left" vertical="center" wrapText="1"/>
    </xf>
    <xf numFmtId="2" fontId="2" fillId="0" borderId="14" xfId="0" applyNumberFormat="1" applyFont="1" applyBorder="1" applyAlignment="1">
      <alignment horizontal="left" vertical="center" wrapText="1"/>
    </xf>
    <xf numFmtId="0" fontId="2" fillId="0" borderId="9" xfId="0" applyFont="1" applyBorder="1" applyAlignment="1">
      <alignment horizontal="center" vertical="center" wrapText="1"/>
    </xf>
    <xf numFmtId="2" fontId="31" fillId="0" borderId="18" xfId="1" applyNumberFormat="1" applyFont="1" applyFill="1" applyBorder="1" applyAlignment="1">
      <alignment horizontal="left" vertical="center"/>
    </xf>
    <xf numFmtId="0" fontId="31" fillId="0" borderId="62" xfId="1" applyNumberFormat="1" applyFont="1" applyFill="1" applyBorder="1" applyAlignment="1">
      <alignment horizontal="left" vertical="center"/>
    </xf>
    <xf numFmtId="0" fontId="31" fillId="0" borderId="59" xfId="1" applyNumberFormat="1" applyFont="1" applyFill="1" applyBorder="1" applyAlignment="1">
      <alignment horizontal="left" vertical="center"/>
    </xf>
    <xf numFmtId="0" fontId="2" fillId="0" borderId="0" xfId="0" applyFont="1" applyAlignment="1" applyProtection="1">
      <alignment horizontal="left" vertical="center" wrapText="1"/>
    </xf>
    <xf numFmtId="4" fontId="3" fillId="0" borderId="55" xfId="0" applyNumberFormat="1" applyFont="1" applyFill="1" applyBorder="1" applyAlignment="1" applyProtection="1">
      <alignment horizontal="center" vertical="top"/>
    </xf>
    <xf numFmtId="4" fontId="3" fillId="0" borderId="63" xfId="0" applyNumberFormat="1" applyFont="1" applyFill="1" applyBorder="1" applyAlignment="1" applyProtection="1">
      <alignment horizontal="center" vertical="top"/>
    </xf>
    <xf numFmtId="4" fontId="3" fillId="0" borderId="64" xfId="0" applyNumberFormat="1" applyFont="1" applyFill="1" applyBorder="1" applyAlignment="1" applyProtection="1">
      <alignment horizontal="center" vertical="top"/>
    </xf>
    <xf numFmtId="0" fontId="3" fillId="0" borderId="0" xfId="0" applyFont="1" applyBorder="1" applyAlignment="1" applyProtection="1">
      <alignment horizontal="left" vertical="top" wrapText="1"/>
    </xf>
    <xf numFmtId="0" fontId="3" fillId="0" borderId="1" xfId="0" applyFont="1" applyFill="1" applyBorder="1" applyAlignment="1" applyProtection="1">
      <alignment horizontal="center" vertical="top"/>
    </xf>
    <xf numFmtId="0" fontId="2" fillId="0" borderId="0" xfId="0" applyFont="1" applyAlignment="1" applyProtection="1">
      <alignment horizontal="left" vertical="top" wrapText="1"/>
    </xf>
    <xf numFmtId="2" fontId="2" fillId="0" borderId="18" xfId="0" applyNumberFormat="1" applyFont="1" applyBorder="1" applyAlignment="1" applyProtection="1">
      <alignment horizontal="center" vertical="center"/>
    </xf>
    <xf numFmtId="2" fontId="2" fillId="0" borderId="62" xfId="0" applyNumberFormat="1" applyFont="1" applyBorder="1" applyAlignment="1" applyProtection="1">
      <alignment horizontal="center" vertical="center"/>
    </xf>
    <xf numFmtId="2" fontId="2" fillId="0" borderId="59" xfId="0" applyNumberFormat="1" applyFont="1" applyBorder="1" applyAlignment="1" applyProtection="1">
      <alignment horizontal="center" vertical="center"/>
    </xf>
    <xf numFmtId="2" fontId="2" fillId="0" borderId="0" xfId="0" applyNumberFormat="1" applyFont="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2" fillId="0" borderId="27" xfId="0" applyFont="1" applyBorder="1" applyAlignment="1" applyProtection="1">
      <alignment horizontal="center" wrapText="1"/>
    </xf>
    <xf numFmtId="0" fontId="2" fillId="0" borderId="0" xfId="0" applyFont="1" applyAlignment="1" applyProtection="1">
      <alignment horizontal="center" wrapText="1"/>
    </xf>
    <xf numFmtId="0" fontId="2" fillId="0" borderId="27"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3" fillId="0" borderId="22" xfId="0" applyFont="1" applyFill="1" applyBorder="1" applyAlignment="1" applyProtection="1">
      <alignment horizontal="center" vertical="center" wrapText="1"/>
    </xf>
    <xf numFmtId="0" fontId="3" fillId="0" borderId="57"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0" xfId="0" applyFont="1" applyAlignment="1" applyProtection="1">
      <alignment horizontal="left" vertical="top" wrapText="1"/>
    </xf>
    <xf numFmtId="0" fontId="2" fillId="0" borderId="0" xfId="0" applyFont="1" applyAlignment="1" applyProtection="1">
      <alignment horizontal="right" vertical="top" wrapText="1"/>
    </xf>
    <xf numFmtId="0" fontId="2" fillId="0" borderId="0" xfId="0" applyFont="1" applyBorder="1" applyAlignment="1" applyProtection="1">
      <alignment horizontal="right" vertical="top" wrapText="1"/>
    </xf>
    <xf numFmtId="0" fontId="3" fillId="0" borderId="3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top"/>
    </xf>
    <xf numFmtId="166" fontId="5" fillId="0" borderId="0" xfId="0" applyNumberFormat="1" applyFont="1" applyBorder="1" applyAlignment="1" applyProtection="1">
      <alignment horizontal="center"/>
    </xf>
    <xf numFmtId="0" fontId="3" fillId="0" borderId="2" xfId="0" applyFont="1" applyBorder="1" applyAlignment="1">
      <alignment horizontal="center" vertical="center"/>
    </xf>
    <xf numFmtId="0" fontId="3" fillId="0" borderId="2" xfId="0" applyFont="1" applyBorder="1" applyAlignment="1">
      <alignment horizontal="center" vertical="top"/>
    </xf>
    <xf numFmtId="0" fontId="2" fillId="0" borderId="4" xfId="1" quotePrefix="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4" xfId="1" quotePrefix="1" applyFont="1" applyBorder="1" applyAlignment="1">
      <alignment horizontal="left" wrapText="1"/>
    </xf>
    <xf numFmtId="0" fontId="2" fillId="0" borderId="0" xfId="1" quotePrefix="1" applyFont="1" applyBorder="1" applyAlignment="1">
      <alignment horizontal="left" wrapText="1"/>
    </xf>
    <xf numFmtId="0" fontId="3" fillId="0" borderId="31" xfId="1" applyFont="1" applyBorder="1" applyAlignment="1">
      <alignment horizontal="center" vertical="center" wrapText="1"/>
    </xf>
    <xf numFmtId="0" fontId="3" fillId="0" borderId="8" xfId="1" applyFont="1" applyBorder="1" applyAlignment="1">
      <alignment horizontal="center" vertical="center" wrapText="1"/>
    </xf>
    <xf numFmtId="0" fontId="3" fillId="0" borderId="2" xfId="1" applyFont="1" applyBorder="1" applyAlignment="1">
      <alignment horizontal="center" vertical="center"/>
    </xf>
    <xf numFmtId="0" fontId="3" fillId="0" borderId="2" xfId="1" applyFont="1" applyBorder="1" applyAlignment="1">
      <alignment horizontal="center" vertical="center" wrapText="1"/>
    </xf>
    <xf numFmtId="0" fontId="2" fillId="0" borderId="2" xfId="0" applyFont="1" applyBorder="1" applyAlignment="1">
      <alignment horizontal="center" vertical="center"/>
    </xf>
    <xf numFmtId="0" fontId="3" fillId="0" borderId="62" xfId="1" applyFont="1" applyFill="1" applyBorder="1" applyAlignment="1">
      <alignment horizontal="center" vertical="center" wrapText="1"/>
    </xf>
    <xf numFmtId="0" fontId="3" fillId="0" borderId="0" xfId="0" applyFont="1" applyBorder="1" applyAlignment="1">
      <alignment horizontal="center" vertical="center" wrapText="1"/>
    </xf>
    <xf numFmtId="2" fontId="3" fillId="0" borderId="24" xfId="0" applyNumberFormat="1" applyFont="1" applyBorder="1" applyAlignment="1">
      <alignment horizontal="center" vertical="center" wrapText="1"/>
    </xf>
    <xf numFmtId="2" fontId="3" fillId="0" borderId="29" xfId="0" applyNumberFormat="1" applyFont="1" applyBorder="1" applyAlignment="1">
      <alignment horizontal="center" vertical="center" wrapText="1"/>
    </xf>
    <xf numFmtId="0" fontId="3" fillId="0" borderId="55"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2" fillId="0" borderId="2" xfId="0" applyFont="1" applyBorder="1" applyAlignment="1">
      <alignment horizontal="center" vertical="top" wrapText="1"/>
    </xf>
    <xf numFmtId="0" fontId="3" fillId="0" borderId="2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5" xfId="0" applyFont="1" applyBorder="1" applyAlignment="1">
      <alignment horizontal="center" vertical="top"/>
    </xf>
    <xf numFmtId="0" fontId="3" fillId="0" borderId="36" xfId="0" applyFont="1" applyBorder="1" applyAlignment="1">
      <alignment horizontal="center" vertical="top"/>
    </xf>
    <xf numFmtId="0" fontId="3" fillId="0" borderId="37" xfId="0" applyFont="1" applyBorder="1" applyAlignment="1">
      <alignment horizontal="center" vertical="top"/>
    </xf>
    <xf numFmtId="0" fontId="3" fillId="0" borderId="55" xfId="0" applyFont="1" applyBorder="1" applyAlignment="1">
      <alignment horizontal="center" vertical="top" wrapText="1"/>
    </xf>
    <xf numFmtId="0" fontId="3" fillId="0" borderId="63" xfId="0" applyFont="1" applyBorder="1" applyAlignment="1">
      <alignment horizontal="center" vertical="top" wrapText="1"/>
    </xf>
    <xf numFmtId="0" fontId="3" fillId="0" borderId="64" xfId="0" applyFont="1" applyBorder="1" applyAlignment="1">
      <alignment horizontal="center" vertical="top" wrapText="1"/>
    </xf>
    <xf numFmtId="0" fontId="3" fillId="0" borderId="31" xfId="0" applyFont="1" applyBorder="1" applyAlignment="1">
      <alignment horizontal="center" vertical="center" wrapText="1"/>
    </xf>
    <xf numFmtId="0" fontId="3" fillId="0" borderId="8" xfId="0" applyFont="1" applyBorder="1" applyAlignment="1">
      <alignment horizontal="center" vertical="center" wrapText="1"/>
    </xf>
    <xf numFmtId="166" fontId="3" fillId="0" borderId="2" xfId="0" applyNumberFormat="1" applyFont="1" applyBorder="1" applyAlignment="1" applyProtection="1">
      <alignment horizontal="center"/>
    </xf>
    <xf numFmtId="0" fontId="3" fillId="0" borderId="3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8" xfId="1" applyFont="1" applyFill="1" applyBorder="1" applyAlignment="1">
      <alignment horizontal="center" vertical="center" wrapText="1"/>
    </xf>
    <xf numFmtId="0" fontId="3" fillId="0" borderId="69"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2" fillId="0" borderId="4" xfId="2" quotePrefix="1" applyFont="1" applyBorder="1" applyAlignment="1">
      <alignment horizontal="left" vertical="top" wrapText="1"/>
    </xf>
    <xf numFmtId="0" fontId="2" fillId="0" borderId="0" xfId="2" quotePrefix="1" applyFont="1" applyBorder="1" applyAlignment="1">
      <alignment horizontal="left" vertical="top" wrapText="1"/>
    </xf>
    <xf numFmtId="0" fontId="3" fillId="0" borderId="40"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top"/>
    </xf>
    <xf numFmtId="0" fontId="3" fillId="0" borderId="62" xfId="0" applyFont="1" applyBorder="1" applyAlignment="1">
      <alignment horizontal="center" vertical="top"/>
    </xf>
    <xf numFmtId="0" fontId="3" fillId="0" borderId="59" xfId="0" applyFont="1" applyBorder="1" applyAlignment="1">
      <alignment horizontal="center" vertical="top"/>
    </xf>
    <xf numFmtId="0" fontId="3" fillId="0" borderId="65" xfId="0" applyFont="1" applyBorder="1" applyAlignment="1">
      <alignment horizontal="center" vertical="top"/>
    </xf>
  </cellXfs>
  <cellStyles count="4">
    <cellStyle name="Normal" xfId="0" builtinId="0"/>
    <cellStyle name="Normal 2" xfId="1" xr:uid="{00000000-0005-0000-0000-000001000000}"/>
    <cellStyle name="Normal 3" xfId="2" xr:uid="{00000000-0005-0000-0000-000002000000}"/>
    <cellStyle name="Percent" xfId="3" builtinId="5"/>
  </cellStyles>
  <dxfs count="7">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48</xdr:row>
      <xdr:rowOff>114300</xdr:rowOff>
    </xdr:from>
    <xdr:to>
      <xdr:col>10</xdr:col>
      <xdr:colOff>133350</xdr:colOff>
      <xdr:row>81</xdr:row>
      <xdr:rowOff>9525</xdr:rowOff>
    </xdr:to>
    <xdr:pic>
      <xdr:nvPicPr>
        <xdr:cNvPr id="28419" name="Picture 20">
          <a:extLst>
            <a:ext uri="{FF2B5EF4-FFF2-40B4-BE49-F238E27FC236}">
              <a16:creationId xmlns:a16="http://schemas.microsoft.com/office/drawing/2014/main" id="{3854BA01-4F19-46ED-8C39-A2F8662BE0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15544800"/>
          <a:ext cx="4562475"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9</xdr:row>
      <xdr:rowOff>95250</xdr:rowOff>
    </xdr:from>
    <xdr:to>
      <xdr:col>10</xdr:col>
      <xdr:colOff>123825</xdr:colOff>
      <xdr:row>45</xdr:row>
      <xdr:rowOff>133350</xdr:rowOff>
    </xdr:to>
    <xdr:pic>
      <xdr:nvPicPr>
        <xdr:cNvPr id="28420" name="Picture 1">
          <a:extLst>
            <a:ext uri="{FF2B5EF4-FFF2-40B4-BE49-F238E27FC236}">
              <a16:creationId xmlns:a16="http://schemas.microsoft.com/office/drawing/2014/main" id="{71A30A9D-1730-4BD7-B514-E5F6B05630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1275" t="378" b="851"/>
        <a:stretch>
          <a:fillRect/>
        </a:stretch>
      </xdr:blipFill>
      <xdr:spPr bwMode="auto">
        <a:xfrm>
          <a:off x="1304925" y="9096375"/>
          <a:ext cx="4152900" cy="598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35</xdr:row>
      <xdr:rowOff>104775</xdr:rowOff>
    </xdr:from>
    <xdr:to>
      <xdr:col>0</xdr:col>
      <xdr:colOff>390525</xdr:colOff>
      <xdr:row>36</xdr:row>
      <xdr:rowOff>57150</xdr:rowOff>
    </xdr:to>
    <xdr:grpSp>
      <xdr:nvGrpSpPr>
        <xdr:cNvPr id="49820" name="Group 1">
          <a:extLst>
            <a:ext uri="{FF2B5EF4-FFF2-40B4-BE49-F238E27FC236}">
              <a16:creationId xmlns:a16="http://schemas.microsoft.com/office/drawing/2014/main" id="{961D645E-E00F-4120-9098-7CF0DC45D2D6}"/>
            </a:ext>
          </a:extLst>
        </xdr:cNvPr>
        <xdr:cNvGrpSpPr>
          <a:grpSpLocks/>
        </xdr:cNvGrpSpPr>
      </xdr:nvGrpSpPr>
      <xdr:grpSpPr bwMode="auto">
        <a:xfrm>
          <a:off x="247650" y="7877175"/>
          <a:ext cx="142875" cy="114300"/>
          <a:chOff x="216694" y="24688800"/>
          <a:chExt cx="185737" cy="123826"/>
        </a:xfrm>
      </xdr:grpSpPr>
      <xdr:cxnSp macro="">
        <xdr:nvCxnSpPr>
          <xdr:cNvPr id="49858" name="Straight Connector 2">
            <a:extLst>
              <a:ext uri="{FF2B5EF4-FFF2-40B4-BE49-F238E27FC236}">
                <a16:creationId xmlns:a16="http://schemas.microsoft.com/office/drawing/2014/main" id="{088AA869-4E3B-4404-832C-3F6A775E6940}"/>
              </a:ext>
            </a:extLst>
          </xdr:cNvPr>
          <xdr:cNvCxnSpPr>
            <a:cxnSpLocks noChangeShapeType="1"/>
          </xdr:cNvCxnSpPr>
        </xdr:nvCxnSpPr>
        <xdr:spPr bwMode="auto">
          <a:xfrm flipH="1">
            <a:off x="216694" y="24688800"/>
            <a:ext cx="2381" cy="12144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59" name="Straight Connector 3">
            <a:extLst>
              <a:ext uri="{FF2B5EF4-FFF2-40B4-BE49-F238E27FC236}">
                <a16:creationId xmlns:a16="http://schemas.microsoft.com/office/drawing/2014/main" id="{7672683D-8895-48F1-9841-5834BDA65A02}"/>
              </a:ext>
            </a:extLst>
          </xdr:cNvPr>
          <xdr:cNvCxnSpPr>
            <a:cxnSpLocks noChangeShapeType="1"/>
          </xdr:cNvCxnSpPr>
        </xdr:nvCxnSpPr>
        <xdr:spPr bwMode="auto">
          <a:xfrm>
            <a:off x="221456" y="24810244"/>
            <a:ext cx="180975" cy="238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60" name="Straight Connector 4">
            <a:extLst>
              <a:ext uri="{FF2B5EF4-FFF2-40B4-BE49-F238E27FC236}">
                <a16:creationId xmlns:a16="http://schemas.microsoft.com/office/drawing/2014/main" id="{DDB910D3-144F-4B13-B275-0D63E31011A7}"/>
              </a:ext>
            </a:extLst>
          </xdr:cNvPr>
          <xdr:cNvCxnSpPr>
            <a:cxnSpLocks noChangeShapeType="1"/>
          </xdr:cNvCxnSpPr>
        </xdr:nvCxnSpPr>
        <xdr:spPr bwMode="auto">
          <a:xfrm flipH="1" flipV="1">
            <a:off x="396240" y="24701500"/>
            <a:ext cx="3809" cy="11112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466725</xdr:colOff>
      <xdr:row>35</xdr:row>
      <xdr:rowOff>123825</xdr:rowOff>
    </xdr:from>
    <xdr:to>
      <xdr:col>0</xdr:col>
      <xdr:colOff>581025</xdr:colOff>
      <xdr:row>36</xdr:row>
      <xdr:rowOff>76200</xdr:rowOff>
    </xdr:to>
    <xdr:grpSp>
      <xdr:nvGrpSpPr>
        <xdr:cNvPr id="49821" name="Group 5">
          <a:extLst>
            <a:ext uri="{FF2B5EF4-FFF2-40B4-BE49-F238E27FC236}">
              <a16:creationId xmlns:a16="http://schemas.microsoft.com/office/drawing/2014/main" id="{F816A292-C2A9-4887-933D-8968339EEA08}"/>
            </a:ext>
          </a:extLst>
        </xdr:cNvPr>
        <xdr:cNvGrpSpPr>
          <a:grpSpLocks/>
        </xdr:cNvGrpSpPr>
      </xdr:nvGrpSpPr>
      <xdr:grpSpPr bwMode="auto">
        <a:xfrm>
          <a:off x="466725" y="7896225"/>
          <a:ext cx="114300" cy="114300"/>
          <a:chOff x="216694" y="24723715"/>
          <a:chExt cx="185737" cy="88911"/>
        </a:xfrm>
      </xdr:grpSpPr>
      <xdr:cxnSp macro="">
        <xdr:nvCxnSpPr>
          <xdr:cNvPr id="49855" name="Straight Connector 6">
            <a:extLst>
              <a:ext uri="{FF2B5EF4-FFF2-40B4-BE49-F238E27FC236}">
                <a16:creationId xmlns:a16="http://schemas.microsoft.com/office/drawing/2014/main" id="{BB790D1E-C804-4201-8EE0-BE3BC2707680}"/>
              </a:ext>
            </a:extLst>
          </xdr:cNvPr>
          <xdr:cNvCxnSpPr>
            <a:cxnSpLocks noChangeShapeType="1"/>
          </xdr:cNvCxnSpPr>
        </xdr:nvCxnSpPr>
        <xdr:spPr bwMode="auto">
          <a:xfrm>
            <a:off x="216694" y="24723715"/>
            <a:ext cx="2" cy="8652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56" name="Straight Connector 7">
            <a:extLst>
              <a:ext uri="{FF2B5EF4-FFF2-40B4-BE49-F238E27FC236}">
                <a16:creationId xmlns:a16="http://schemas.microsoft.com/office/drawing/2014/main" id="{849E33DC-770E-427E-8CCB-253D763D7FA7}"/>
              </a:ext>
            </a:extLst>
          </xdr:cNvPr>
          <xdr:cNvCxnSpPr>
            <a:cxnSpLocks noChangeShapeType="1"/>
          </xdr:cNvCxnSpPr>
        </xdr:nvCxnSpPr>
        <xdr:spPr bwMode="auto">
          <a:xfrm>
            <a:off x="221456" y="24810244"/>
            <a:ext cx="180975" cy="238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57" name="Straight Connector 8">
            <a:extLst>
              <a:ext uri="{FF2B5EF4-FFF2-40B4-BE49-F238E27FC236}">
                <a16:creationId xmlns:a16="http://schemas.microsoft.com/office/drawing/2014/main" id="{473633E5-775C-480E-A32F-C39B0C65A6F4}"/>
              </a:ext>
            </a:extLst>
          </xdr:cNvPr>
          <xdr:cNvCxnSpPr>
            <a:cxnSpLocks noChangeShapeType="1"/>
          </xdr:cNvCxnSpPr>
        </xdr:nvCxnSpPr>
        <xdr:spPr bwMode="auto">
          <a:xfrm flipH="1" flipV="1">
            <a:off x="395002" y="24723725"/>
            <a:ext cx="5048" cy="8890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514350</xdr:colOff>
      <xdr:row>36</xdr:row>
      <xdr:rowOff>76200</xdr:rowOff>
    </xdr:from>
    <xdr:to>
      <xdr:col>0</xdr:col>
      <xdr:colOff>514350</xdr:colOff>
      <xdr:row>37</xdr:row>
      <xdr:rowOff>142875</xdr:rowOff>
    </xdr:to>
    <xdr:cxnSp macro="">
      <xdr:nvCxnSpPr>
        <xdr:cNvPr id="49822" name="Straight Connector 9">
          <a:extLst>
            <a:ext uri="{FF2B5EF4-FFF2-40B4-BE49-F238E27FC236}">
              <a16:creationId xmlns:a16="http://schemas.microsoft.com/office/drawing/2014/main" id="{E2A3EC51-3CEE-4296-B246-B8B4400ABD90}"/>
            </a:ext>
          </a:extLst>
        </xdr:cNvPr>
        <xdr:cNvCxnSpPr>
          <a:cxnSpLocks noChangeShapeType="1"/>
        </xdr:cNvCxnSpPr>
      </xdr:nvCxnSpPr>
      <xdr:spPr bwMode="auto">
        <a:xfrm>
          <a:off x="514350" y="8010525"/>
          <a:ext cx="0" cy="2286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523875</xdr:colOff>
      <xdr:row>37</xdr:row>
      <xdr:rowOff>142875</xdr:rowOff>
    </xdr:from>
    <xdr:to>
      <xdr:col>0</xdr:col>
      <xdr:colOff>752475</xdr:colOff>
      <xdr:row>37</xdr:row>
      <xdr:rowOff>142875</xdr:rowOff>
    </xdr:to>
    <xdr:cxnSp macro="">
      <xdr:nvCxnSpPr>
        <xdr:cNvPr id="49823" name="Straight Connector 10">
          <a:extLst>
            <a:ext uri="{FF2B5EF4-FFF2-40B4-BE49-F238E27FC236}">
              <a16:creationId xmlns:a16="http://schemas.microsoft.com/office/drawing/2014/main" id="{A29A997F-CEB2-474F-AB0D-A30463CBF8D7}"/>
            </a:ext>
          </a:extLst>
        </xdr:cNvPr>
        <xdr:cNvCxnSpPr>
          <a:cxnSpLocks noChangeShapeType="1"/>
        </xdr:cNvCxnSpPr>
      </xdr:nvCxnSpPr>
      <xdr:spPr bwMode="auto">
        <a:xfrm>
          <a:off x="523875" y="8239125"/>
          <a:ext cx="2286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323850</xdr:colOff>
      <xdr:row>36</xdr:row>
      <xdr:rowOff>57150</xdr:rowOff>
    </xdr:from>
    <xdr:to>
      <xdr:col>0</xdr:col>
      <xdr:colOff>323850</xdr:colOff>
      <xdr:row>38</xdr:row>
      <xdr:rowOff>85725</xdr:rowOff>
    </xdr:to>
    <xdr:cxnSp macro="">
      <xdr:nvCxnSpPr>
        <xdr:cNvPr id="49824" name="Straight Connector 11">
          <a:extLst>
            <a:ext uri="{FF2B5EF4-FFF2-40B4-BE49-F238E27FC236}">
              <a16:creationId xmlns:a16="http://schemas.microsoft.com/office/drawing/2014/main" id="{95E319C7-49D0-409E-816D-571F1796B13D}"/>
            </a:ext>
          </a:extLst>
        </xdr:cNvPr>
        <xdr:cNvCxnSpPr>
          <a:cxnSpLocks noChangeShapeType="1"/>
        </xdr:cNvCxnSpPr>
      </xdr:nvCxnSpPr>
      <xdr:spPr bwMode="auto">
        <a:xfrm>
          <a:off x="323850" y="7991475"/>
          <a:ext cx="0" cy="3905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323850</xdr:colOff>
      <xdr:row>38</xdr:row>
      <xdr:rowOff>95250</xdr:rowOff>
    </xdr:from>
    <xdr:to>
      <xdr:col>1</xdr:col>
      <xdr:colOff>9525</xdr:colOff>
      <xdr:row>38</xdr:row>
      <xdr:rowOff>95250</xdr:rowOff>
    </xdr:to>
    <xdr:cxnSp macro="">
      <xdr:nvCxnSpPr>
        <xdr:cNvPr id="49825" name="Straight Connector 12">
          <a:extLst>
            <a:ext uri="{FF2B5EF4-FFF2-40B4-BE49-F238E27FC236}">
              <a16:creationId xmlns:a16="http://schemas.microsoft.com/office/drawing/2014/main" id="{EE8AD491-5C2E-4D3E-A96D-37D8442FCAC1}"/>
            </a:ext>
          </a:extLst>
        </xdr:cNvPr>
        <xdr:cNvCxnSpPr>
          <a:cxnSpLocks noChangeShapeType="1"/>
        </xdr:cNvCxnSpPr>
      </xdr:nvCxnSpPr>
      <xdr:spPr bwMode="auto">
        <a:xfrm>
          <a:off x="323850" y="8391525"/>
          <a:ext cx="44767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552450</xdr:colOff>
      <xdr:row>35</xdr:row>
      <xdr:rowOff>123825</xdr:rowOff>
    </xdr:from>
    <xdr:to>
      <xdr:col>6</xdr:col>
      <xdr:colOff>285750</xdr:colOff>
      <xdr:row>39</xdr:row>
      <xdr:rowOff>123825</xdr:rowOff>
    </xdr:to>
    <xdr:grpSp>
      <xdr:nvGrpSpPr>
        <xdr:cNvPr id="49826" name="Group 13">
          <a:extLst>
            <a:ext uri="{FF2B5EF4-FFF2-40B4-BE49-F238E27FC236}">
              <a16:creationId xmlns:a16="http://schemas.microsoft.com/office/drawing/2014/main" id="{6681B1F5-32A1-4600-946A-D04BC54464E7}"/>
            </a:ext>
          </a:extLst>
        </xdr:cNvPr>
        <xdr:cNvGrpSpPr>
          <a:grpSpLocks/>
        </xdr:cNvGrpSpPr>
      </xdr:nvGrpSpPr>
      <xdr:grpSpPr bwMode="auto">
        <a:xfrm>
          <a:off x="3933825" y="7896225"/>
          <a:ext cx="381000" cy="685800"/>
          <a:chOff x="4457700" y="24726900"/>
          <a:chExt cx="285750" cy="647700"/>
        </a:xfrm>
      </xdr:grpSpPr>
      <xdr:sp macro="" textlink="">
        <xdr:nvSpPr>
          <xdr:cNvPr id="49851" name="Rectangle 14">
            <a:extLst>
              <a:ext uri="{FF2B5EF4-FFF2-40B4-BE49-F238E27FC236}">
                <a16:creationId xmlns:a16="http://schemas.microsoft.com/office/drawing/2014/main" id="{95805CD0-9297-45ED-BDAC-C1865C278877}"/>
              </a:ext>
            </a:extLst>
          </xdr:cNvPr>
          <xdr:cNvSpPr>
            <a:spLocks noChangeArrowheads="1"/>
          </xdr:cNvSpPr>
        </xdr:nvSpPr>
        <xdr:spPr bwMode="auto">
          <a:xfrm>
            <a:off x="4457700" y="24726900"/>
            <a:ext cx="285750" cy="64770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52" name="Oval 15">
            <a:extLst>
              <a:ext uri="{FF2B5EF4-FFF2-40B4-BE49-F238E27FC236}">
                <a16:creationId xmlns:a16="http://schemas.microsoft.com/office/drawing/2014/main" id="{2E5A7215-C1D6-4DB8-8060-22B1D4D8FD9D}"/>
              </a:ext>
            </a:extLst>
          </xdr:cNvPr>
          <xdr:cNvSpPr>
            <a:spLocks noChangeArrowheads="1"/>
          </xdr:cNvSpPr>
        </xdr:nvSpPr>
        <xdr:spPr bwMode="auto">
          <a:xfrm>
            <a:off x="4524375" y="24757857"/>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53" name="Oval 16">
            <a:extLst>
              <a:ext uri="{FF2B5EF4-FFF2-40B4-BE49-F238E27FC236}">
                <a16:creationId xmlns:a16="http://schemas.microsoft.com/office/drawing/2014/main" id="{CB91E117-78F1-4BA0-967D-24734B2294D0}"/>
              </a:ext>
            </a:extLst>
          </xdr:cNvPr>
          <xdr:cNvSpPr>
            <a:spLocks noChangeArrowheads="1"/>
          </xdr:cNvSpPr>
        </xdr:nvSpPr>
        <xdr:spPr bwMode="auto">
          <a:xfrm>
            <a:off x="4524375" y="24953119"/>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54" name="Oval 17">
            <a:extLst>
              <a:ext uri="{FF2B5EF4-FFF2-40B4-BE49-F238E27FC236}">
                <a16:creationId xmlns:a16="http://schemas.microsoft.com/office/drawing/2014/main" id="{AFD8E302-1F05-4549-8B4F-447CEA4E32F2}"/>
              </a:ext>
            </a:extLst>
          </xdr:cNvPr>
          <xdr:cNvSpPr>
            <a:spLocks noChangeArrowheads="1"/>
          </xdr:cNvSpPr>
        </xdr:nvSpPr>
        <xdr:spPr bwMode="auto">
          <a:xfrm>
            <a:off x="4524375" y="25162669"/>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561975</xdr:colOff>
      <xdr:row>35</xdr:row>
      <xdr:rowOff>47625</xdr:rowOff>
    </xdr:from>
    <xdr:to>
      <xdr:col>7</xdr:col>
      <xdr:colOff>247650</xdr:colOff>
      <xdr:row>39</xdr:row>
      <xdr:rowOff>161925</xdr:rowOff>
    </xdr:to>
    <xdr:grpSp>
      <xdr:nvGrpSpPr>
        <xdr:cNvPr id="49827" name="Group 18">
          <a:extLst>
            <a:ext uri="{FF2B5EF4-FFF2-40B4-BE49-F238E27FC236}">
              <a16:creationId xmlns:a16="http://schemas.microsoft.com/office/drawing/2014/main" id="{D13689E8-039A-461E-9890-2ED3AF6897F8}"/>
            </a:ext>
          </a:extLst>
        </xdr:cNvPr>
        <xdr:cNvGrpSpPr>
          <a:grpSpLocks/>
        </xdr:cNvGrpSpPr>
      </xdr:nvGrpSpPr>
      <xdr:grpSpPr bwMode="auto">
        <a:xfrm>
          <a:off x="4591050" y="7820025"/>
          <a:ext cx="285750" cy="800100"/>
          <a:chOff x="4457699" y="24726899"/>
          <a:chExt cx="288131" cy="854869"/>
        </a:xfrm>
      </xdr:grpSpPr>
      <xdr:sp macro="" textlink="">
        <xdr:nvSpPr>
          <xdr:cNvPr id="49847" name="Rectangle 19">
            <a:extLst>
              <a:ext uri="{FF2B5EF4-FFF2-40B4-BE49-F238E27FC236}">
                <a16:creationId xmlns:a16="http://schemas.microsoft.com/office/drawing/2014/main" id="{C4B56B25-1664-4B7C-AE8F-E5D065F46A8E}"/>
              </a:ext>
            </a:extLst>
          </xdr:cNvPr>
          <xdr:cNvSpPr>
            <a:spLocks noChangeArrowheads="1"/>
          </xdr:cNvSpPr>
        </xdr:nvSpPr>
        <xdr:spPr bwMode="auto">
          <a:xfrm>
            <a:off x="4457699" y="24726899"/>
            <a:ext cx="288131" cy="854869"/>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48" name="Oval 20">
            <a:extLst>
              <a:ext uri="{FF2B5EF4-FFF2-40B4-BE49-F238E27FC236}">
                <a16:creationId xmlns:a16="http://schemas.microsoft.com/office/drawing/2014/main" id="{E333DC16-2EB3-4384-9BA3-2C75EC87181B}"/>
              </a:ext>
            </a:extLst>
          </xdr:cNvPr>
          <xdr:cNvSpPr>
            <a:spLocks noChangeArrowheads="1"/>
          </xdr:cNvSpPr>
        </xdr:nvSpPr>
        <xdr:spPr bwMode="auto">
          <a:xfrm>
            <a:off x="4524375" y="24757857"/>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49" name="Oval 21">
            <a:extLst>
              <a:ext uri="{FF2B5EF4-FFF2-40B4-BE49-F238E27FC236}">
                <a16:creationId xmlns:a16="http://schemas.microsoft.com/office/drawing/2014/main" id="{D0E51156-512C-4384-B105-6A9D4D779ACD}"/>
              </a:ext>
            </a:extLst>
          </xdr:cNvPr>
          <xdr:cNvSpPr>
            <a:spLocks noChangeArrowheads="1"/>
          </xdr:cNvSpPr>
        </xdr:nvSpPr>
        <xdr:spPr bwMode="auto">
          <a:xfrm>
            <a:off x="4524375" y="24953119"/>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50" name="Oval 22">
            <a:extLst>
              <a:ext uri="{FF2B5EF4-FFF2-40B4-BE49-F238E27FC236}">
                <a16:creationId xmlns:a16="http://schemas.microsoft.com/office/drawing/2014/main" id="{9036CFC4-21AC-4A02-9614-A95D99559047}"/>
              </a:ext>
            </a:extLst>
          </xdr:cNvPr>
          <xdr:cNvSpPr>
            <a:spLocks noChangeArrowheads="1"/>
          </xdr:cNvSpPr>
        </xdr:nvSpPr>
        <xdr:spPr bwMode="auto">
          <a:xfrm>
            <a:off x="4524375" y="25162669"/>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xdr:col>
      <xdr:colOff>28575</xdr:colOff>
      <xdr:row>38</xdr:row>
      <xdr:rowOff>133350</xdr:rowOff>
    </xdr:from>
    <xdr:to>
      <xdr:col>7</xdr:col>
      <xdr:colOff>180975</xdr:colOff>
      <xdr:row>39</xdr:row>
      <xdr:rowOff>142875</xdr:rowOff>
    </xdr:to>
    <xdr:sp macro="" textlink="">
      <xdr:nvSpPr>
        <xdr:cNvPr id="49828" name="Oval 23">
          <a:extLst>
            <a:ext uri="{FF2B5EF4-FFF2-40B4-BE49-F238E27FC236}">
              <a16:creationId xmlns:a16="http://schemas.microsoft.com/office/drawing/2014/main" id="{E5553FCC-87A1-4EBF-8907-F1253669176C}"/>
            </a:ext>
          </a:extLst>
        </xdr:cNvPr>
        <xdr:cNvSpPr>
          <a:spLocks noChangeArrowheads="1"/>
        </xdr:cNvSpPr>
      </xdr:nvSpPr>
      <xdr:spPr bwMode="auto">
        <a:xfrm>
          <a:off x="4657725" y="8429625"/>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581025</xdr:colOff>
      <xdr:row>35</xdr:row>
      <xdr:rowOff>114300</xdr:rowOff>
    </xdr:from>
    <xdr:to>
      <xdr:col>8</xdr:col>
      <xdr:colOff>266700</xdr:colOff>
      <xdr:row>39</xdr:row>
      <xdr:rowOff>123825</xdr:rowOff>
    </xdr:to>
    <xdr:grpSp>
      <xdr:nvGrpSpPr>
        <xdr:cNvPr id="49829" name="Group 24">
          <a:extLst>
            <a:ext uri="{FF2B5EF4-FFF2-40B4-BE49-F238E27FC236}">
              <a16:creationId xmlns:a16="http://schemas.microsoft.com/office/drawing/2014/main" id="{C19AC7CC-48B1-4352-9C94-8CF19B1776E7}"/>
            </a:ext>
          </a:extLst>
        </xdr:cNvPr>
        <xdr:cNvGrpSpPr>
          <a:grpSpLocks/>
        </xdr:cNvGrpSpPr>
      </xdr:nvGrpSpPr>
      <xdr:grpSpPr bwMode="auto">
        <a:xfrm>
          <a:off x="5210175" y="7886700"/>
          <a:ext cx="419100" cy="695325"/>
          <a:chOff x="6069806" y="24538782"/>
          <a:chExt cx="435770" cy="652462"/>
        </a:xfrm>
      </xdr:grpSpPr>
      <xdr:sp macro="" textlink="">
        <xdr:nvSpPr>
          <xdr:cNvPr id="49834" name="Oval 25">
            <a:extLst>
              <a:ext uri="{FF2B5EF4-FFF2-40B4-BE49-F238E27FC236}">
                <a16:creationId xmlns:a16="http://schemas.microsoft.com/office/drawing/2014/main" id="{D56E2B5D-5400-46A3-8B4C-F877F34607F9}"/>
              </a:ext>
            </a:extLst>
          </xdr:cNvPr>
          <xdr:cNvSpPr>
            <a:spLocks noChangeArrowheads="1"/>
          </xdr:cNvSpPr>
        </xdr:nvSpPr>
        <xdr:spPr bwMode="auto">
          <a:xfrm>
            <a:off x="6207919" y="24574501"/>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35" name="Oval 26">
            <a:extLst>
              <a:ext uri="{FF2B5EF4-FFF2-40B4-BE49-F238E27FC236}">
                <a16:creationId xmlns:a16="http://schemas.microsoft.com/office/drawing/2014/main" id="{09FDAF7F-B1B8-4A5D-AB17-BCA966FC82BF}"/>
              </a:ext>
            </a:extLst>
          </xdr:cNvPr>
          <xdr:cNvSpPr>
            <a:spLocks noChangeArrowheads="1"/>
          </xdr:cNvSpPr>
        </xdr:nvSpPr>
        <xdr:spPr bwMode="auto">
          <a:xfrm>
            <a:off x="6117431" y="24779288"/>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36" name="Oval 27">
            <a:extLst>
              <a:ext uri="{FF2B5EF4-FFF2-40B4-BE49-F238E27FC236}">
                <a16:creationId xmlns:a16="http://schemas.microsoft.com/office/drawing/2014/main" id="{5A762089-3D11-459B-9954-DEE3C1D10049}"/>
              </a:ext>
            </a:extLst>
          </xdr:cNvPr>
          <xdr:cNvSpPr>
            <a:spLocks noChangeArrowheads="1"/>
          </xdr:cNvSpPr>
        </xdr:nvSpPr>
        <xdr:spPr bwMode="auto">
          <a:xfrm>
            <a:off x="6117431" y="24988838"/>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49837" name="Straight Connector 28">
            <a:extLst>
              <a:ext uri="{FF2B5EF4-FFF2-40B4-BE49-F238E27FC236}">
                <a16:creationId xmlns:a16="http://schemas.microsoft.com/office/drawing/2014/main" id="{E7A904F3-02DE-44A6-B6A5-051C94908068}"/>
              </a:ext>
            </a:extLst>
          </xdr:cNvPr>
          <xdr:cNvCxnSpPr>
            <a:cxnSpLocks noChangeShapeType="1"/>
          </xdr:cNvCxnSpPr>
        </xdr:nvCxnSpPr>
        <xdr:spPr bwMode="auto">
          <a:xfrm flipV="1">
            <a:off x="6176963" y="24538782"/>
            <a:ext cx="2380" cy="22145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38" name="Straight Connector 29">
            <a:extLst>
              <a:ext uri="{FF2B5EF4-FFF2-40B4-BE49-F238E27FC236}">
                <a16:creationId xmlns:a16="http://schemas.microsoft.com/office/drawing/2014/main" id="{D8C61F2B-768D-4798-AC37-49CF2828C318}"/>
              </a:ext>
            </a:extLst>
          </xdr:cNvPr>
          <xdr:cNvCxnSpPr>
            <a:cxnSpLocks noChangeShapeType="1"/>
          </xdr:cNvCxnSpPr>
        </xdr:nvCxnSpPr>
        <xdr:spPr bwMode="auto">
          <a:xfrm>
            <a:off x="6172199" y="24543544"/>
            <a:ext cx="21431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39" name="Straight Connector 30">
            <a:extLst>
              <a:ext uri="{FF2B5EF4-FFF2-40B4-BE49-F238E27FC236}">
                <a16:creationId xmlns:a16="http://schemas.microsoft.com/office/drawing/2014/main" id="{678BA056-CEA7-421B-86E8-D6A9A19DF2D5}"/>
              </a:ext>
            </a:extLst>
          </xdr:cNvPr>
          <xdr:cNvCxnSpPr>
            <a:cxnSpLocks noChangeShapeType="1"/>
          </xdr:cNvCxnSpPr>
        </xdr:nvCxnSpPr>
        <xdr:spPr bwMode="auto">
          <a:xfrm>
            <a:off x="6391275" y="24543544"/>
            <a:ext cx="0" cy="219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40" name="Straight Connector 31">
            <a:extLst>
              <a:ext uri="{FF2B5EF4-FFF2-40B4-BE49-F238E27FC236}">
                <a16:creationId xmlns:a16="http://schemas.microsoft.com/office/drawing/2014/main" id="{5FFD5068-511F-49C7-8D3A-4B3127F3A3FD}"/>
              </a:ext>
            </a:extLst>
          </xdr:cNvPr>
          <xdr:cNvCxnSpPr>
            <a:cxnSpLocks noChangeShapeType="1"/>
          </xdr:cNvCxnSpPr>
        </xdr:nvCxnSpPr>
        <xdr:spPr bwMode="auto">
          <a:xfrm flipH="1">
            <a:off x="6069806" y="24765000"/>
            <a:ext cx="107157" cy="238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41" name="Straight Connector 32">
            <a:extLst>
              <a:ext uri="{FF2B5EF4-FFF2-40B4-BE49-F238E27FC236}">
                <a16:creationId xmlns:a16="http://schemas.microsoft.com/office/drawing/2014/main" id="{6DE13FE8-4819-42F2-A1B1-F31B8C702606}"/>
              </a:ext>
            </a:extLst>
          </xdr:cNvPr>
          <xdr:cNvCxnSpPr>
            <a:cxnSpLocks noChangeShapeType="1"/>
          </xdr:cNvCxnSpPr>
        </xdr:nvCxnSpPr>
        <xdr:spPr bwMode="auto">
          <a:xfrm>
            <a:off x="6079332" y="24765000"/>
            <a:ext cx="2381" cy="42148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42" name="Straight Connector 33">
            <a:extLst>
              <a:ext uri="{FF2B5EF4-FFF2-40B4-BE49-F238E27FC236}">
                <a16:creationId xmlns:a16="http://schemas.microsoft.com/office/drawing/2014/main" id="{ECF32007-DDB7-4F4C-9BF9-B8FCD1387862}"/>
              </a:ext>
            </a:extLst>
          </xdr:cNvPr>
          <xdr:cNvCxnSpPr>
            <a:cxnSpLocks noChangeShapeType="1"/>
          </xdr:cNvCxnSpPr>
        </xdr:nvCxnSpPr>
        <xdr:spPr bwMode="auto">
          <a:xfrm>
            <a:off x="6076950" y="25186481"/>
            <a:ext cx="416719" cy="4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43" name="Straight Connector 34">
            <a:extLst>
              <a:ext uri="{FF2B5EF4-FFF2-40B4-BE49-F238E27FC236}">
                <a16:creationId xmlns:a16="http://schemas.microsoft.com/office/drawing/2014/main" id="{DD932A5F-C734-4D9A-AAB9-7BEF9563E89F}"/>
              </a:ext>
            </a:extLst>
          </xdr:cNvPr>
          <xdr:cNvCxnSpPr>
            <a:cxnSpLocks noChangeShapeType="1"/>
          </xdr:cNvCxnSpPr>
        </xdr:nvCxnSpPr>
        <xdr:spPr bwMode="auto">
          <a:xfrm flipV="1">
            <a:off x="6496050" y="24760238"/>
            <a:ext cx="4763" cy="43100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844" name="Straight Connector 35">
            <a:extLst>
              <a:ext uri="{FF2B5EF4-FFF2-40B4-BE49-F238E27FC236}">
                <a16:creationId xmlns:a16="http://schemas.microsoft.com/office/drawing/2014/main" id="{BC815CF3-AE6A-4F01-9796-002BDD84347B}"/>
              </a:ext>
            </a:extLst>
          </xdr:cNvPr>
          <xdr:cNvCxnSpPr>
            <a:cxnSpLocks noChangeShapeType="1"/>
          </xdr:cNvCxnSpPr>
        </xdr:nvCxnSpPr>
        <xdr:spPr bwMode="auto">
          <a:xfrm flipH="1">
            <a:off x="6386513" y="24757857"/>
            <a:ext cx="11906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49845" name="Oval 36">
            <a:extLst>
              <a:ext uri="{FF2B5EF4-FFF2-40B4-BE49-F238E27FC236}">
                <a16:creationId xmlns:a16="http://schemas.microsoft.com/office/drawing/2014/main" id="{01C8A857-A7DB-4A0C-BA1B-840310F76443}"/>
              </a:ext>
            </a:extLst>
          </xdr:cNvPr>
          <xdr:cNvSpPr>
            <a:spLocks noChangeArrowheads="1"/>
          </xdr:cNvSpPr>
        </xdr:nvSpPr>
        <xdr:spPr bwMode="auto">
          <a:xfrm>
            <a:off x="6315074" y="24781669"/>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846" name="Oval 37">
            <a:extLst>
              <a:ext uri="{FF2B5EF4-FFF2-40B4-BE49-F238E27FC236}">
                <a16:creationId xmlns:a16="http://schemas.microsoft.com/office/drawing/2014/main" id="{1AD7AB50-0D42-425B-8309-939D781AADF4}"/>
              </a:ext>
            </a:extLst>
          </xdr:cNvPr>
          <xdr:cNvSpPr>
            <a:spLocks noChangeArrowheads="1"/>
          </xdr:cNvSpPr>
        </xdr:nvSpPr>
        <xdr:spPr bwMode="auto">
          <a:xfrm>
            <a:off x="6315074" y="24991219"/>
            <a:ext cx="152400" cy="1714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oneCellAnchor>
    <xdr:from>
      <xdr:col>5</xdr:col>
      <xdr:colOff>547687</xdr:colOff>
      <xdr:row>39</xdr:row>
      <xdr:rowOff>147638</xdr:rowOff>
    </xdr:from>
    <xdr:ext cx="381002" cy="264560"/>
    <xdr:sp macro="" textlink="">
      <xdr:nvSpPr>
        <xdr:cNvPr id="39" name="TextBox 38">
          <a:extLst>
            <a:ext uri="{FF2B5EF4-FFF2-40B4-BE49-F238E27FC236}">
              <a16:creationId xmlns:a16="http://schemas.microsoft.com/office/drawing/2014/main" id="{48E65411-103C-4ACF-B028-A0B4C3F46F21}"/>
            </a:ext>
          </a:extLst>
        </xdr:cNvPr>
        <xdr:cNvSpPr txBox="1"/>
      </xdr:nvSpPr>
      <xdr:spPr>
        <a:xfrm>
          <a:off x="3929062" y="8605838"/>
          <a:ext cx="3810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A-3</a:t>
          </a:r>
        </a:p>
      </xdr:txBody>
    </xdr:sp>
    <xdr:clientData/>
  </xdr:oneCellAnchor>
  <xdr:oneCellAnchor>
    <xdr:from>
      <xdr:col>6</xdr:col>
      <xdr:colOff>476250</xdr:colOff>
      <xdr:row>40</xdr:row>
      <xdr:rowOff>0</xdr:rowOff>
    </xdr:from>
    <xdr:ext cx="381002" cy="264560"/>
    <xdr:sp macro="" textlink="">
      <xdr:nvSpPr>
        <xdr:cNvPr id="40" name="TextBox 39">
          <a:extLst>
            <a:ext uri="{FF2B5EF4-FFF2-40B4-BE49-F238E27FC236}">
              <a16:creationId xmlns:a16="http://schemas.microsoft.com/office/drawing/2014/main" id="{8635C092-DB6D-4A3E-926F-6DDD946A77A4}"/>
            </a:ext>
          </a:extLst>
        </xdr:cNvPr>
        <xdr:cNvSpPr txBox="1"/>
      </xdr:nvSpPr>
      <xdr:spPr>
        <a:xfrm>
          <a:off x="4505325" y="8620125"/>
          <a:ext cx="3810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A-4</a:t>
          </a:r>
        </a:p>
      </xdr:txBody>
    </xdr:sp>
    <xdr:clientData/>
  </xdr:oneCellAnchor>
  <xdr:oneCellAnchor>
    <xdr:from>
      <xdr:col>7</xdr:col>
      <xdr:colOff>600075</xdr:colOff>
      <xdr:row>40</xdr:row>
      <xdr:rowOff>0</xdr:rowOff>
    </xdr:from>
    <xdr:ext cx="381002" cy="264560"/>
    <xdr:sp macro="" textlink="">
      <xdr:nvSpPr>
        <xdr:cNvPr id="41" name="TextBox 40">
          <a:extLst>
            <a:ext uri="{FF2B5EF4-FFF2-40B4-BE49-F238E27FC236}">
              <a16:creationId xmlns:a16="http://schemas.microsoft.com/office/drawing/2014/main" id="{67BB19D1-AD10-4154-B74B-9604839BE8A0}"/>
            </a:ext>
          </a:extLst>
        </xdr:cNvPr>
        <xdr:cNvSpPr txBox="1"/>
      </xdr:nvSpPr>
      <xdr:spPr>
        <a:xfrm>
          <a:off x="5229225" y="8620125"/>
          <a:ext cx="3810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A-5</a:t>
          </a:r>
        </a:p>
      </xdr:txBody>
    </xdr:sp>
    <xdr:clientData/>
  </xdr:oneCellAnchor>
  <xdr:twoCellAnchor editAs="oneCell">
    <xdr:from>
      <xdr:col>6</xdr:col>
      <xdr:colOff>19050</xdr:colOff>
      <xdr:row>65</xdr:row>
      <xdr:rowOff>47625</xdr:rowOff>
    </xdr:from>
    <xdr:to>
      <xdr:col>8</xdr:col>
      <xdr:colOff>409575</xdr:colOff>
      <xdr:row>71</xdr:row>
      <xdr:rowOff>352425</xdr:rowOff>
    </xdr:to>
    <xdr:pic>
      <xdr:nvPicPr>
        <xdr:cNvPr id="49833" name="Picture 3">
          <a:extLst>
            <a:ext uri="{FF2B5EF4-FFF2-40B4-BE49-F238E27FC236}">
              <a16:creationId xmlns:a16="http://schemas.microsoft.com/office/drawing/2014/main" id="{BEB60371-2171-4BDC-866E-006CEC3CC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584" r="3947" b="12759"/>
        <a:stretch>
          <a:fillRect/>
        </a:stretch>
      </xdr:blipFill>
      <xdr:spPr bwMode="auto">
        <a:xfrm>
          <a:off x="4048125" y="12973050"/>
          <a:ext cx="172402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638175</xdr:colOff>
      <xdr:row>48</xdr:row>
      <xdr:rowOff>180975</xdr:rowOff>
    </xdr:from>
    <xdr:to>
      <xdr:col>7</xdr:col>
      <xdr:colOff>161925</xdr:colOff>
      <xdr:row>61</xdr:row>
      <xdr:rowOff>28575</xdr:rowOff>
    </xdr:to>
    <xdr:pic>
      <xdr:nvPicPr>
        <xdr:cNvPr id="18104" name="Picture 2">
          <a:extLst>
            <a:ext uri="{FF2B5EF4-FFF2-40B4-BE49-F238E27FC236}">
              <a16:creationId xmlns:a16="http://schemas.microsoft.com/office/drawing/2014/main" id="{4C4CB0CF-16CA-40C3-89F4-0CC05DD43E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811" t="30515" r="26704" b="27574"/>
        <a:stretch>
          <a:fillRect/>
        </a:stretch>
      </xdr:blipFill>
      <xdr:spPr bwMode="auto">
        <a:xfrm>
          <a:off x="1543050" y="9372600"/>
          <a:ext cx="3648075"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88"/>
  <sheetViews>
    <sheetView tabSelected="1" zoomScaleNormal="100" zoomScaleSheetLayoutView="100" workbookViewId="0">
      <selection activeCell="B4" sqref="B4:G4"/>
    </sheetView>
  </sheetViews>
  <sheetFormatPr defaultRowHeight="12.75" x14ac:dyDescent="0.2"/>
  <cols>
    <col min="1" max="1" width="19.6640625" customWidth="1"/>
    <col min="2" max="2" width="18" customWidth="1"/>
    <col min="3" max="3" width="31.6640625" customWidth="1"/>
    <col min="4" max="4" width="14.6640625" customWidth="1"/>
    <col min="5" max="5" width="14.83203125" customWidth="1"/>
    <col min="6" max="7" width="12.5" customWidth="1"/>
    <col min="14" max="14" width="11.5" customWidth="1"/>
  </cols>
  <sheetData>
    <row r="1" spans="1:8" ht="20.25" x14ac:dyDescent="0.3">
      <c r="A1" s="773" t="s">
        <v>597</v>
      </c>
      <c r="B1" s="773"/>
      <c r="C1" s="773"/>
      <c r="D1" s="773"/>
      <c r="E1" s="773"/>
      <c r="F1" s="773"/>
      <c r="G1" s="773"/>
      <c r="H1" s="97"/>
    </row>
    <row r="2" spans="1:8" ht="15" x14ac:dyDescent="0.2">
      <c r="A2" s="98"/>
      <c r="B2" s="98"/>
      <c r="C2" s="98"/>
      <c r="D2" s="98"/>
      <c r="E2" s="98"/>
      <c r="F2" s="98"/>
      <c r="G2" s="98"/>
      <c r="H2" s="99"/>
    </row>
    <row r="3" spans="1:8" ht="15.75" x14ac:dyDescent="0.25">
      <c r="A3" s="534" t="s">
        <v>154</v>
      </c>
      <c r="B3" s="98"/>
      <c r="C3" s="98"/>
      <c r="D3" s="98"/>
      <c r="E3" s="98"/>
      <c r="F3" s="98"/>
      <c r="G3" s="98"/>
      <c r="H3" s="99"/>
    </row>
    <row r="4" spans="1:8" ht="136.5" customHeight="1" x14ac:dyDescent="0.2">
      <c r="A4" s="101"/>
      <c r="B4" s="768" t="s">
        <v>706</v>
      </c>
      <c r="C4" s="774"/>
      <c r="D4" s="774"/>
      <c r="E4" s="774"/>
      <c r="F4" s="774"/>
      <c r="G4" s="774"/>
      <c r="H4" s="99"/>
    </row>
    <row r="5" spans="1:8" ht="15" x14ac:dyDescent="0.2">
      <c r="A5" s="101"/>
      <c r="B5" s="533"/>
      <c r="C5" s="553"/>
      <c r="D5" s="553"/>
      <c r="E5" s="553"/>
      <c r="F5" s="553"/>
      <c r="G5" s="553"/>
      <c r="H5" s="99"/>
    </row>
    <row r="6" spans="1:8" ht="15.75" x14ac:dyDescent="0.25">
      <c r="A6" s="534" t="s">
        <v>480</v>
      </c>
      <c r="B6" s="533"/>
      <c r="C6" s="553"/>
      <c r="D6" s="553"/>
      <c r="E6" s="553"/>
      <c r="F6" s="553"/>
      <c r="G6" s="553"/>
      <c r="H6" s="99"/>
    </row>
    <row r="7" spans="1:8" ht="15" x14ac:dyDescent="0.2">
      <c r="A7" s="101"/>
      <c r="B7" s="571" t="s">
        <v>479</v>
      </c>
      <c r="C7" s="553"/>
      <c r="D7" s="553"/>
      <c r="E7" s="553"/>
      <c r="F7" s="553"/>
      <c r="G7" s="553"/>
      <c r="H7" s="99"/>
    </row>
    <row r="8" spans="1:8" ht="15" x14ac:dyDescent="0.2">
      <c r="A8" s="101"/>
      <c r="B8" s="103" t="s">
        <v>669</v>
      </c>
      <c r="C8" s="572"/>
      <c r="D8" s="572"/>
      <c r="E8" s="572"/>
      <c r="F8" s="572"/>
      <c r="G8" s="572"/>
      <c r="H8" s="99"/>
    </row>
    <row r="9" spans="1:8" ht="15" x14ac:dyDescent="0.2">
      <c r="A9" s="101"/>
      <c r="B9" s="103" t="s">
        <v>483</v>
      </c>
      <c r="C9" s="572"/>
      <c r="D9" s="572"/>
      <c r="E9" s="572"/>
      <c r="F9" s="572"/>
      <c r="G9" s="572"/>
      <c r="H9" s="99"/>
    </row>
    <row r="10" spans="1:8" ht="15" x14ac:dyDescent="0.2">
      <c r="A10" s="101"/>
      <c r="B10" s="768" t="s">
        <v>680</v>
      </c>
      <c r="C10" s="768"/>
      <c r="D10" s="768"/>
      <c r="E10" s="768"/>
      <c r="F10" s="768"/>
      <c r="G10" s="768"/>
      <c r="H10" s="99"/>
    </row>
    <row r="11" spans="1:8" ht="15" x14ac:dyDescent="0.2">
      <c r="A11" s="101"/>
      <c r="B11" s="103" t="s">
        <v>796</v>
      </c>
      <c r="C11" s="572"/>
      <c r="D11" s="572"/>
      <c r="E11" s="572"/>
      <c r="F11" s="572"/>
      <c r="G11" s="572"/>
      <c r="H11" s="99"/>
    </row>
    <row r="12" spans="1:8" ht="16.5" customHeight="1" x14ac:dyDescent="0.2">
      <c r="A12" s="101"/>
      <c r="B12" s="768" t="s">
        <v>670</v>
      </c>
      <c r="C12" s="768"/>
      <c r="D12" s="768"/>
      <c r="E12" s="768"/>
      <c r="F12" s="768"/>
      <c r="G12" s="768"/>
      <c r="H12" s="99"/>
    </row>
    <row r="13" spans="1:8" ht="15" x14ac:dyDescent="0.2">
      <c r="A13" s="101"/>
      <c r="B13" s="768" t="s">
        <v>590</v>
      </c>
      <c r="C13" s="768"/>
      <c r="D13" s="768"/>
      <c r="E13" s="768"/>
      <c r="F13" s="768"/>
      <c r="G13" s="768"/>
      <c r="H13" s="99"/>
    </row>
    <row r="14" spans="1:8" ht="15" x14ac:dyDescent="0.2">
      <c r="A14" s="101"/>
      <c r="B14" s="103" t="s">
        <v>707</v>
      </c>
      <c r="C14" s="103"/>
      <c r="D14" s="103"/>
      <c r="E14" s="103"/>
      <c r="F14" s="103"/>
      <c r="G14" s="103"/>
      <c r="H14" s="99"/>
    </row>
    <row r="15" spans="1:8" ht="15" x14ac:dyDescent="0.2">
      <c r="A15" s="101"/>
      <c r="B15" s="103" t="s">
        <v>671</v>
      </c>
      <c r="C15" s="572"/>
      <c r="D15" s="572"/>
      <c r="E15" s="572"/>
      <c r="F15" s="572"/>
      <c r="G15" s="572"/>
      <c r="H15" s="99"/>
    </row>
    <row r="16" spans="1:8" ht="15" x14ac:dyDescent="0.2">
      <c r="A16" s="101"/>
      <c r="B16" s="103"/>
      <c r="C16" s="572"/>
      <c r="D16" s="572"/>
      <c r="E16" s="572"/>
      <c r="F16" s="572"/>
      <c r="G16" s="572"/>
      <c r="H16" s="99"/>
    </row>
    <row r="17" spans="1:8" ht="15.75" x14ac:dyDescent="0.25">
      <c r="A17" s="574" t="s">
        <v>482</v>
      </c>
      <c r="B17" s="102"/>
      <c r="C17" s="98"/>
      <c r="D17" s="98"/>
      <c r="E17" s="98"/>
      <c r="F17" s="98"/>
      <c r="G17" s="98"/>
      <c r="H17" s="99"/>
    </row>
    <row r="18" spans="1:8" ht="15" x14ac:dyDescent="0.2">
      <c r="A18" s="573" t="s">
        <v>481</v>
      </c>
      <c r="C18" s="98"/>
      <c r="D18" s="98"/>
      <c r="E18" s="98"/>
      <c r="F18" s="98"/>
      <c r="G18" s="98"/>
      <c r="H18" s="99"/>
    </row>
    <row r="19" spans="1:8" ht="15" x14ac:dyDescent="0.2">
      <c r="A19" s="582">
        <v>1</v>
      </c>
      <c r="B19" s="769" t="s">
        <v>592</v>
      </c>
      <c r="C19" s="769"/>
      <c r="D19" s="769"/>
      <c r="E19" s="769"/>
      <c r="F19" s="769"/>
      <c r="G19" s="769"/>
      <c r="H19" s="99"/>
    </row>
    <row r="20" spans="1:8" ht="16.5" customHeight="1" x14ac:dyDescent="0.2">
      <c r="A20" s="582">
        <f t="shared" ref="A20:A30" si="0">A19+1</f>
        <v>2</v>
      </c>
      <c r="B20" s="771" t="s">
        <v>708</v>
      </c>
      <c r="C20" s="771"/>
      <c r="D20" s="771"/>
      <c r="E20" s="771"/>
      <c r="F20" s="771"/>
      <c r="G20" s="771"/>
      <c r="H20" s="99"/>
    </row>
    <row r="21" spans="1:8" ht="78" customHeight="1" x14ac:dyDescent="0.2">
      <c r="A21" s="582">
        <f t="shared" si="0"/>
        <v>3</v>
      </c>
      <c r="B21" s="770" t="s">
        <v>771</v>
      </c>
      <c r="C21" s="770"/>
      <c r="D21" s="770"/>
      <c r="E21" s="770"/>
      <c r="F21" s="770"/>
      <c r="G21" s="770"/>
      <c r="H21" s="99"/>
    </row>
    <row r="22" spans="1:8" ht="31.5" customHeight="1" x14ac:dyDescent="0.2">
      <c r="A22" s="582">
        <f t="shared" si="0"/>
        <v>4</v>
      </c>
      <c r="B22" s="770" t="s">
        <v>709</v>
      </c>
      <c r="C22" s="770"/>
      <c r="D22" s="770"/>
      <c r="E22" s="770"/>
      <c r="F22" s="770"/>
      <c r="G22" s="770"/>
      <c r="H22" s="99"/>
    </row>
    <row r="23" spans="1:8" ht="32.25" customHeight="1" x14ac:dyDescent="0.2">
      <c r="A23" s="582">
        <f t="shared" si="0"/>
        <v>5</v>
      </c>
      <c r="B23" s="771" t="s">
        <v>727</v>
      </c>
      <c r="C23" s="771"/>
      <c r="D23" s="771"/>
      <c r="E23" s="771"/>
      <c r="F23" s="771"/>
      <c r="G23" s="771"/>
      <c r="H23" s="99"/>
    </row>
    <row r="24" spans="1:8" ht="51.75" customHeight="1" x14ac:dyDescent="0.2">
      <c r="A24" s="582">
        <f t="shared" si="0"/>
        <v>6</v>
      </c>
      <c r="B24" s="771" t="s">
        <v>728</v>
      </c>
      <c r="C24" s="771"/>
      <c r="D24" s="771"/>
      <c r="E24" s="771"/>
      <c r="F24" s="771"/>
      <c r="G24" s="771"/>
      <c r="H24" s="99"/>
    </row>
    <row r="25" spans="1:8" ht="33" customHeight="1" x14ac:dyDescent="0.2">
      <c r="A25" s="582">
        <f t="shared" si="0"/>
        <v>7</v>
      </c>
      <c r="B25" s="772" t="s">
        <v>498</v>
      </c>
      <c r="C25" s="772"/>
      <c r="D25" s="772"/>
      <c r="E25" s="772"/>
      <c r="F25" s="772"/>
      <c r="G25" s="772"/>
      <c r="H25" s="99"/>
    </row>
    <row r="26" spans="1:8" ht="15" x14ac:dyDescent="0.2">
      <c r="A26" s="582">
        <f t="shared" si="0"/>
        <v>8</v>
      </c>
      <c r="B26" s="771" t="s">
        <v>484</v>
      </c>
      <c r="C26" s="771"/>
      <c r="D26" s="771"/>
      <c r="E26" s="771"/>
      <c r="F26" s="771"/>
      <c r="G26" s="771"/>
      <c r="H26" s="99"/>
    </row>
    <row r="27" spans="1:8" ht="31.5" customHeight="1" x14ac:dyDescent="0.2">
      <c r="A27" s="582">
        <f t="shared" si="0"/>
        <v>9</v>
      </c>
      <c r="B27" s="775" t="s">
        <v>712</v>
      </c>
      <c r="C27" s="775"/>
      <c r="D27" s="775"/>
      <c r="E27" s="775"/>
      <c r="F27" s="775"/>
      <c r="G27" s="775"/>
      <c r="H27" s="99"/>
    </row>
    <row r="28" spans="1:8" ht="16.5" customHeight="1" x14ac:dyDescent="0.2">
      <c r="A28" s="582">
        <f t="shared" si="0"/>
        <v>10</v>
      </c>
      <c r="B28" s="103" t="s">
        <v>685</v>
      </c>
      <c r="C28" s="576"/>
      <c r="D28" s="576"/>
      <c r="E28" s="576"/>
      <c r="F28" s="576"/>
      <c r="G28" s="576"/>
      <c r="H28" s="99"/>
    </row>
    <row r="29" spans="1:8" ht="15" x14ac:dyDescent="0.2">
      <c r="A29" s="582">
        <f t="shared" si="0"/>
        <v>11</v>
      </c>
      <c r="B29" s="768" t="s">
        <v>672</v>
      </c>
      <c r="C29" s="768"/>
      <c r="D29" s="768"/>
      <c r="E29" s="768"/>
      <c r="F29" s="768"/>
      <c r="G29" s="768"/>
      <c r="H29" s="99"/>
    </row>
    <row r="30" spans="1:8" ht="15" x14ac:dyDescent="0.2">
      <c r="A30" s="582">
        <f t="shared" si="0"/>
        <v>12</v>
      </c>
      <c r="B30" s="103" t="s">
        <v>444</v>
      </c>
      <c r="C30" s="734"/>
      <c r="D30" s="734"/>
      <c r="E30" s="734"/>
      <c r="F30" s="734"/>
      <c r="G30" s="734"/>
      <c r="H30" s="99"/>
    </row>
    <row r="31" spans="1:8" ht="15" x14ac:dyDescent="0.2">
      <c r="A31" s="101"/>
      <c r="H31" s="99"/>
    </row>
    <row r="32" spans="1:8" ht="15" x14ac:dyDescent="0.2">
      <c r="A32" s="577" t="s">
        <v>485</v>
      </c>
      <c r="B32" s="103"/>
      <c r="C32" s="533"/>
      <c r="D32" s="533"/>
      <c r="E32" s="533"/>
      <c r="F32" s="533"/>
      <c r="G32" s="533"/>
      <c r="H32" s="99"/>
    </row>
    <row r="33" spans="1:8" ht="15" x14ac:dyDescent="0.2">
      <c r="A33" s="583">
        <v>1</v>
      </c>
      <c r="B33" s="575" t="s">
        <v>673</v>
      </c>
      <c r="C33" s="533"/>
      <c r="D33" s="533"/>
      <c r="E33" s="533"/>
      <c r="F33" s="533"/>
      <c r="G33" s="533"/>
      <c r="H33" s="99"/>
    </row>
    <row r="34" spans="1:8" ht="15" x14ac:dyDescent="0.2">
      <c r="A34" s="101"/>
      <c r="B34" s="103"/>
      <c r="C34" s="533"/>
      <c r="D34" s="533"/>
      <c r="E34" s="533"/>
      <c r="F34" s="533"/>
      <c r="G34" s="533"/>
      <c r="H34" s="99"/>
    </row>
    <row r="35" spans="1:8" ht="15" x14ac:dyDescent="0.2">
      <c r="A35" s="577" t="s">
        <v>486</v>
      </c>
      <c r="B35" s="533"/>
      <c r="C35" s="533"/>
      <c r="D35" s="533"/>
      <c r="E35" s="533"/>
      <c r="F35" s="533"/>
      <c r="G35" s="533"/>
      <c r="H35" s="99"/>
    </row>
    <row r="36" spans="1:8" ht="19.5" x14ac:dyDescent="0.2">
      <c r="A36" s="583">
        <v>1</v>
      </c>
      <c r="B36" s="579" t="s">
        <v>686</v>
      </c>
      <c r="C36" s="533"/>
      <c r="D36" s="533"/>
      <c r="E36" s="533"/>
      <c r="F36" s="533"/>
      <c r="G36" s="533"/>
      <c r="H36" s="99"/>
    </row>
    <row r="37" spans="1:8" ht="15" x14ac:dyDescent="0.2">
      <c r="A37" s="583">
        <v>2</v>
      </c>
      <c r="B37" s="103" t="s">
        <v>791</v>
      </c>
      <c r="C37" s="533"/>
      <c r="D37" s="533"/>
      <c r="E37" s="533"/>
      <c r="F37" s="533"/>
      <c r="G37" s="533"/>
      <c r="H37" s="99"/>
    </row>
    <row r="38" spans="1:8" ht="15" x14ac:dyDescent="0.2">
      <c r="A38" s="583">
        <v>3</v>
      </c>
      <c r="B38" s="103" t="s">
        <v>797</v>
      </c>
      <c r="C38" s="533"/>
      <c r="D38" s="533"/>
      <c r="E38" s="533"/>
      <c r="F38" s="533"/>
      <c r="G38" s="533"/>
      <c r="H38" s="99"/>
    </row>
    <row r="39" spans="1:8" ht="33.75" customHeight="1" x14ac:dyDescent="0.2">
      <c r="A39" s="583">
        <v>4</v>
      </c>
      <c r="B39" s="768" t="s">
        <v>790</v>
      </c>
      <c r="C39" s="768"/>
      <c r="D39" s="768"/>
      <c r="E39" s="768"/>
      <c r="F39" s="768"/>
      <c r="G39" s="768"/>
      <c r="H39" s="99"/>
    </row>
    <row r="40" spans="1:8" ht="15" x14ac:dyDescent="0.2">
      <c r="A40" s="577"/>
      <c r="B40" s="103"/>
      <c r="C40" s="533"/>
      <c r="D40" s="533"/>
      <c r="E40" s="533"/>
      <c r="F40" s="533"/>
      <c r="G40" s="533"/>
      <c r="H40" s="99"/>
    </row>
    <row r="41" spans="1:8" ht="15" x14ac:dyDescent="0.2">
      <c r="A41" s="577" t="s">
        <v>487</v>
      </c>
      <c r="B41" s="103"/>
      <c r="C41" s="533"/>
      <c r="D41" s="533"/>
      <c r="E41" s="533"/>
      <c r="F41" s="533"/>
      <c r="G41" s="533"/>
      <c r="H41" s="99"/>
    </row>
    <row r="42" spans="1:8" ht="30.75" customHeight="1" x14ac:dyDescent="0.2">
      <c r="A42" s="583">
        <v>1</v>
      </c>
      <c r="B42" s="768" t="s">
        <v>591</v>
      </c>
      <c r="C42" s="768"/>
      <c r="D42" s="768"/>
      <c r="E42" s="768"/>
      <c r="F42" s="768"/>
      <c r="G42" s="768"/>
      <c r="H42" s="99"/>
    </row>
    <row r="43" spans="1:8" ht="15" x14ac:dyDescent="0.2">
      <c r="A43" s="101"/>
      <c r="B43" s="103"/>
      <c r="C43" s="580" t="s">
        <v>710</v>
      </c>
      <c r="D43" s="533"/>
      <c r="E43" s="533"/>
      <c r="F43" s="533"/>
      <c r="G43" s="533"/>
      <c r="H43" s="99"/>
    </row>
    <row r="44" spans="1:8" ht="15" x14ac:dyDescent="0.2">
      <c r="A44" s="101"/>
      <c r="B44" s="103"/>
      <c r="C44" s="533" t="s">
        <v>789</v>
      </c>
      <c r="D44" s="533"/>
      <c r="E44" s="533"/>
      <c r="F44" s="533"/>
      <c r="G44" s="533"/>
      <c r="H44" s="99"/>
    </row>
    <row r="45" spans="1:8" ht="15" x14ac:dyDescent="0.2">
      <c r="A45" s="583">
        <v>2</v>
      </c>
      <c r="B45" s="581" t="s">
        <v>488</v>
      </c>
      <c r="C45" s="533"/>
      <c r="D45" s="533"/>
      <c r="E45" s="533"/>
      <c r="F45" s="533"/>
      <c r="G45" s="533"/>
      <c r="H45" s="99"/>
    </row>
    <row r="46" spans="1:8" ht="45" customHeight="1" x14ac:dyDescent="0.2">
      <c r="A46" s="577"/>
      <c r="B46" s="581"/>
      <c r="C46" s="772" t="s">
        <v>772</v>
      </c>
      <c r="D46" s="772"/>
      <c r="E46" s="772"/>
      <c r="F46" s="772"/>
      <c r="G46" s="772"/>
      <c r="H46" s="99"/>
    </row>
    <row r="47" spans="1:8" ht="35.25" customHeight="1" x14ac:dyDescent="0.2">
      <c r="A47" s="583">
        <v>3</v>
      </c>
      <c r="B47" s="768" t="s">
        <v>788</v>
      </c>
      <c r="C47" s="768"/>
      <c r="D47" s="768"/>
      <c r="E47" s="768"/>
      <c r="F47" s="768"/>
      <c r="G47" s="768"/>
      <c r="H47" s="99"/>
    </row>
    <row r="48" spans="1:8" ht="15" x14ac:dyDescent="0.2">
      <c r="A48" s="583">
        <v>4</v>
      </c>
      <c r="B48" s="768" t="s">
        <v>786</v>
      </c>
      <c r="C48" s="768"/>
      <c r="D48" s="768"/>
      <c r="E48" s="768"/>
      <c r="F48" s="768"/>
      <c r="G48" s="768"/>
      <c r="H48" s="99"/>
    </row>
    <row r="49" spans="1:9" ht="15" x14ac:dyDescent="0.2">
      <c r="A49" s="100"/>
      <c r="C49" s="104"/>
      <c r="D49" s="104"/>
      <c r="E49" s="104"/>
      <c r="F49" s="104"/>
      <c r="G49" s="104"/>
      <c r="H49" s="99"/>
    </row>
    <row r="50" spans="1:9" ht="15" x14ac:dyDescent="0.2">
      <c r="A50" s="577" t="s">
        <v>674</v>
      </c>
      <c r="H50" s="99"/>
    </row>
    <row r="51" spans="1:9" s="723" customFormat="1" ht="92.25" customHeight="1" x14ac:dyDescent="0.2">
      <c r="A51" s="583">
        <v>1</v>
      </c>
      <c r="B51" s="774" t="s">
        <v>773</v>
      </c>
      <c r="C51" s="774"/>
      <c r="D51" s="774"/>
      <c r="E51" s="774"/>
      <c r="F51" s="774"/>
      <c r="G51" s="774"/>
      <c r="H51" s="578"/>
      <c r="I51" s="578"/>
    </row>
    <row r="52" spans="1:9" s="723" customFormat="1" ht="15.75" thickBot="1" x14ac:dyDescent="0.25">
      <c r="A52" s="583"/>
      <c r="B52" s="553"/>
      <c r="C52" s="553"/>
      <c r="D52" s="553"/>
      <c r="E52" s="553"/>
      <c r="F52" s="553"/>
      <c r="G52" s="553"/>
      <c r="H52" s="578"/>
      <c r="I52" s="578"/>
    </row>
    <row r="53" spans="1:9" s="723" customFormat="1" ht="86.25" customHeight="1" thickBot="1" x14ac:dyDescent="0.25">
      <c r="A53" s="583"/>
      <c r="B53" s="553"/>
      <c r="C53" s="727" t="s">
        <v>283</v>
      </c>
      <c r="D53" s="728" t="s">
        <v>768</v>
      </c>
      <c r="E53" s="729" t="s">
        <v>774</v>
      </c>
      <c r="G53" s="553"/>
      <c r="H53" s="578"/>
      <c r="I53" s="578"/>
    </row>
    <row r="54" spans="1:9" s="723" customFormat="1" ht="15" x14ac:dyDescent="0.2">
      <c r="A54" s="583"/>
      <c r="B54" s="553"/>
      <c r="C54" s="730" t="s">
        <v>36</v>
      </c>
      <c r="D54" s="748">
        <v>0.5</v>
      </c>
      <c r="E54" s="751">
        <v>0.25</v>
      </c>
      <c r="G54" s="553"/>
      <c r="H54" s="578"/>
      <c r="I54" s="578"/>
    </row>
    <row r="55" spans="1:9" s="723" customFormat="1" ht="15" x14ac:dyDescent="0.2">
      <c r="A55" s="583"/>
      <c r="B55" s="553"/>
      <c r="C55" s="731" t="s">
        <v>37</v>
      </c>
      <c r="D55" s="749">
        <v>1</v>
      </c>
      <c r="E55" s="752">
        <v>0.2</v>
      </c>
      <c r="G55" s="553"/>
      <c r="H55" s="578"/>
      <c r="I55" s="578"/>
    </row>
    <row r="56" spans="1:9" s="723" customFormat="1" ht="15.75" thickBot="1" x14ac:dyDescent="0.25">
      <c r="A56" s="583"/>
      <c r="B56" s="553"/>
      <c r="C56" s="732" t="s">
        <v>38</v>
      </c>
      <c r="D56" s="750">
        <v>1</v>
      </c>
      <c r="E56" s="753">
        <v>0.2</v>
      </c>
      <c r="G56" s="553"/>
      <c r="H56" s="578"/>
      <c r="I56" s="578"/>
    </row>
    <row r="57" spans="1:9" ht="15" x14ac:dyDescent="0.2">
      <c r="A57" s="573" t="s">
        <v>639</v>
      </c>
      <c r="B57" s="103"/>
      <c r="C57" s="199"/>
      <c r="D57" s="199"/>
      <c r="E57" s="199"/>
      <c r="F57" s="199"/>
      <c r="G57" s="199"/>
      <c r="H57" s="199"/>
      <c r="I57" s="199"/>
    </row>
    <row r="58" spans="1:9" ht="18" customHeight="1" x14ac:dyDescent="0.2">
      <c r="A58" s="583">
        <v>1</v>
      </c>
      <c r="B58" s="771" t="s">
        <v>676</v>
      </c>
      <c r="C58" s="771"/>
      <c r="D58" s="771"/>
      <c r="E58" s="771"/>
      <c r="F58" s="771"/>
      <c r="G58" s="771"/>
      <c r="H58" s="199"/>
      <c r="I58" s="199"/>
    </row>
    <row r="59" spans="1:9" ht="99.75" customHeight="1" x14ac:dyDescent="0.2">
      <c r="A59" s="583">
        <v>2</v>
      </c>
      <c r="B59" s="768" t="s">
        <v>713</v>
      </c>
      <c r="C59" s="768"/>
      <c r="D59" s="768"/>
      <c r="E59" s="768"/>
      <c r="F59" s="768"/>
      <c r="G59" s="768"/>
      <c r="H59" s="97"/>
    </row>
    <row r="60" spans="1:9" ht="31.5" customHeight="1" x14ac:dyDescent="0.2">
      <c r="A60" s="583">
        <v>3</v>
      </c>
      <c r="B60" s="768" t="s">
        <v>675</v>
      </c>
      <c r="C60" s="768"/>
      <c r="D60" s="768"/>
      <c r="E60" s="768"/>
      <c r="F60" s="768"/>
      <c r="G60" s="768"/>
      <c r="H60" s="97"/>
    </row>
    <row r="61" spans="1:9" ht="47.25" customHeight="1" x14ac:dyDescent="0.2">
      <c r="A61" s="583">
        <v>4</v>
      </c>
      <c r="B61" s="768" t="s">
        <v>677</v>
      </c>
      <c r="C61" s="768"/>
      <c r="D61" s="768"/>
      <c r="E61" s="768"/>
      <c r="F61" s="768"/>
      <c r="G61" s="768"/>
      <c r="H61" s="97"/>
    </row>
    <row r="62" spans="1:9" ht="31.5" customHeight="1" x14ac:dyDescent="0.2">
      <c r="A62" s="583">
        <v>5</v>
      </c>
      <c r="B62" s="771" t="s">
        <v>489</v>
      </c>
      <c r="C62" s="771"/>
      <c r="D62" s="771"/>
      <c r="E62" s="771"/>
      <c r="F62" s="771"/>
      <c r="G62" s="771"/>
      <c r="H62" s="97"/>
    </row>
    <row r="63" spans="1:9" ht="15" x14ac:dyDescent="0.2">
      <c r="A63" s="583">
        <v>6</v>
      </c>
      <c r="B63" s="103" t="s">
        <v>500</v>
      </c>
      <c r="C63" s="533"/>
      <c r="D63" s="533"/>
      <c r="E63" s="533"/>
      <c r="F63" s="533"/>
      <c r="G63" s="533"/>
      <c r="H63" s="97"/>
    </row>
    <row r="64" spans="1:9" ht="30.75" customHeight="1" x14ac:dyDescent="0.2">
      <c r="A64" s="583">
        <v>7</v>
      </c>
      <c r="B64" s="768" t="s">
        <v>793</v>
      </c>
      <c r="C64" s="768"/>
      <c r="D64" s="768"/>
      <c r="E64" s="768"/>
      <c r="F64" s="768"/>
      <c r="G64" s="768"/>
      <c r="H64" s="97"/>
    </row>
    <row r="65" spans="1:15" ht="15" x14ac:dyDescent="0.2">
      <c r="A65" s="101"/>
      <c r="B65" s="768"/>
      <c r="C65" s="768"/>
      <c r="D65" s="768"/>
      <c r="E65" s="768"/>
      <c r="F65" s="768"/>
      <c r="G65" s="768"/>
      <c r="H65" s="97"/>
    </row>
    <row r="66" spans="1:15" ht="15" x14ac:dyDescent="0.2">
      <c r="A66" s="628" t="s">
        <v>490</v>
      </c>
      <c r="B66" s="629"/>
      <c r="C66" s="533"/>
      <c r="D66" s="533"/>
      <c r="E66" s="533"/>
      <c r="F66" s="533"/>
      <c r="G66" s="533"/>
      <c r="H66" s="97"/>
    </row>
    <row r="67" spans="1:15" ht="31.5" customHeight="1" x14ac:dyDescent="0.2">
      <c r="A67" s="583">
        <v>1</v>
      </c>
      <c r="B67" s="772" t="s">
        <v>714</v>
      </c>
      <c r="C67" s="772"/>
      <c r="D67" s="772"/>
      <c r="E67" s="772"/>
      <c r="F67" s="772"/>
      <c r="G67" s="772"/>
      <c r="H67" s="97"/>
    </row>
    <row r="68" spans="1:15" ht="15" x14ac:dyDescent="0.2">
      <c r="A68" s="583">
        <v>2</v>
      </c>
      <c r="B68" s="786" t="s">
        <v>491</v>
      </c>
      <c r="C68" s="786"/>
      <c r="D68" s="786"/>
      <c r="E68" s="786"/>
      <c r="F68" s="786"/>
      <c r="G68" s="786"/>
      <c r="H68" s="97"/>
    </row>
    <row r="69" spans="1:15" ht="19.5" x14ac:dyDescent="0.2">
      <c r="A69" s="583">
        <v>3</v>
      </c>
      <c r="B69" s="575" t="s">
        <v>496</v>
      </c>
      <c r="C69" s="575"/>
      <c r="H69" s="97"/>
    </row>
    <row r="70" spans="1:15" ht="19.5" x14ac:dyDescent="0.2">
      <c r="A70" s="583">
        <v>4</v>
      </c>
      <c r="B70" s="575" t="s">
        <v>495</v>
      </c>
      <c r="C70" s="575"/>
      <c r="H70" s="97"/>
    </row>
    <row r="71" spans="1:15" ht="15" x14ac:dyDescent="0.2">
      <c r="A71" s="101"/>
      <c r="B71" s="575"/>
      <c r="C71" s="575" t="s">
        <v>492</v>
      </c>
      <c r="H71" s="97"/>
    </row>
    <row r="72" spans="1:15" ht="15" x14ac:dyDescent="0.2">
      <c r="A72" s="101"/>
      <c r="B72" s="575"/>
      <c r="C72" s="575" t="s">
        <v>493</v>
      </c>
      <c r="H72" s="97"/>
    </row>
    <row r="73" spans="1:15" ht="15" x14ac:dyDescent="0.2">
      <c r="A73" s="101"/>
      <c r="B73" s="575"/>
      <c r="C73" s="575" t="s">
        <v>494</v>
      </c>
      <c r="H73" s="97"/>
    </row>
    <row r="74" spans="1:15" ht="32.25" customHeight="1" x14ac:dyDescent="0.2">
      <c r="A74" s="583">
        <v>5</v>
      </c>
      <c r="B74" s="775" t="s">
        <v>687</v>
      </c>
      <c r="C74" s="771"/>
      <c r="D74" s="771"/>
      <c r="E74" s="771"/>
      <c r="F74" s="771"/>
      <c r="G74" s="771"/>
      <c r="H74" s="97"/>
    </row>
    <row r="75" spans="1:15" ht="30.75" customHeight="1" x14ac:dyDescent="0.2">
      <c r="A75" s="583">
        <v>6</v>
      </c>
      <c r="B75" s="768" t="s">
        <v>794</v>
      </c>
      <c r="C75" s="768"/>
      <c r="D75" s="768"/>
      <c r="E75" s="768"/>
      <c r="F75" s="768"/>
      <c r="G75" s="768"/>
      <c r="H75" s="97"/>
    </row>
    <row r="76" spans="1:15" ht="32.25" customHeight="1" x14ac:dyDescent="0.2">
      <c r="A76" s="583">
        <v>7</v>
      </c>
      <c r="B76" s="768" t="s">
        <v>678</v>
      </c>
      <c r="C76" s="768"/>
      <c r="D76" s="768"/>
      <c r="E76" s="768"/>
      <c r="F76" s="768"/>
      <c r="G76" s="768"/>
      <c r="H76" s="97"/>
      <c r="J76" s="626"/>
      <c r="K76" s="626"/>
      <c r="L76" s="626"/>
      <c r="M76" s="626"/>
      <c r="N76" s="626"/>
      <c r="O76" s="626"/>
    </row>
    <row r="77" spans="1:15" ht="15" x14ac:dyDescent="0.2">
      <c r="A77" s="583">
        <v>8</v>
      </c>
      <c r="B77" s="768" t="s">
        <v>497</v>
      </c>
      <c r="C77" s="768"/>
      <c r="D77" s="768"/>
      <c r="E77" s="768"/>
      <c r="F77" s="768"/>
      <c r="G77" s="768"/>
      <c r="H77" s="97"/>
    </row>
    <row r="78" spans="1:15" ht="15" x14ac:dyDescent="0.2">
      <c r="A78" s="583"/>
      <c r="B78" s="533"/>
      <c r="C78" s="533"/>
      <c r="D78" s="533"/>
      <c r="E78" s="533"/>
      <c r="F78" s="533"/>
      <c r="G78" s="533"/>
      <c r="H78" s="97"/>
    </row>
    <row r="79" spans="1:15" ht="21" customHeight="1" x14ac:dyDescent="0.2">
      <c r="A79" s="628" t="s">
        <v>240</v>
      </c>
      <c r="B79" s="533"/>
      <c r="C79" s="533"/>
      <c r="D79" s="533"/>
      <c r="E79" s="533"/>
      <c r="F79" s="533"/>
      <c r="G79" s="533"/>
      <c r="H79" s="97"/>
    </row>
    <row r="80" spans="1:15" ht="47.25" customHeight="1" x14ac:dyDescent="0.2">
      <c r="A80" s="583">
        <v>1</v>
      </c>
      <c r="B80" s="768" t="s">
        <v>499</v>
      </c>
      <c r="C80" s="768"/>
      <c r="D80" s="768"/>
      <c r="E80" s="768"/>
      <c r="F80" s="768"/>
      <c r="G80" s="768"/>
      <c r="H80" s="97"/>
    </row>
    <row r="81" spans="1:8" ht="15" x14ac:dyDescent="0.2">
      <c r="A81" s="101"/>
      <c r="B81" s="533"/>
      <c r="C81" s="533"/>
      <c r="D81" s="533"/>
      <c r="E81" s="533"/>
      <c r="F81" s="533"/>
      <c r="G81" s="533"/>
      <c r="H81" s="97"/>
    </row>
    <row r="82" spans="1:8" ht="13.5" thickBot="1" x14ac:dyDescent="0.25"/>
    <row r="83" spans="1:8" ht="13.5" thickBot="1" x14ac:dyDescent="0.25">
      <c r="A83" s="106" t="s">
        <v>156</v>
      </c>
      <c r="B83" s="107" t="s">
        <v>157</v>
      </c>
      <c r="C83" s="107" t="s">
        <v>158</v>
      </c>
      <c r="D83" s="778" t="s">
        <v>159</v>
      </c>
      <c r="E83" s="778"/>
      <c r="F83" s="778"/>
      <c r="G83" s="779"/>
      <c r="H83" s="108"/>
    </row>
    <row r="84" spans="1:8" ht="14.25" x14ac:dyDescent="0.2">
      <c r="A84" s="109">
        <v>1</v>
      </c>
      <c r="B84" s="110" t="s">
        <v>787</v>
      </c>
      <c r="C84" s="111" t="s">
        <v>775</v>
      </c>
      <c r="D84" s="780" t="s">
        <v>160</v>
      </c>
      <c r="E84" s="780"/>
      <c r="F84" s="780"/>
      <c r="G84" s="781"/>
      <c r="H84" s="105"/>
    </row>
    <row r="85" spans="1:8" ht="28.5" x14ac:dyDescent="0.2">
      <c r="A85" s="765">
        <v>1.1000000000000001</v>
      </c>
      <c r="B85" s="766" t="s">
        <v>806</v>
      </c>
      <c r="C85" s="767" t="s">
        <v>807</v>
      </c>
      <c r="D85" s="782" t="s">
        <v>808</v>
      </c>
      <c r="E85" s="782"/>
      <c r="F85" s="782"/>
      <c r="G85" s="783"/>
      <c r="H85" s="108"/>
    </row>
    <row r="86" spans="1:8" x14ac:dyDescent="0.2">
      <c r="A86" s="112"/>
      <c r="B86" s="113"/>
      <c r="C86" s="114"/>
      <c r="D86" s="784"/>
      <c r="E86" s="784"/>
      <c r="F86" s="784"/>
      <c r="G86" s="785"/>
      <c r="H86" s="108"/>
    </row>
    <row r="87" spans="1:8" x14ac:dyDescent="0.2">
      <c r="A87" s="112"/>
      <c r="B87" s="113"/>
      <c r="C87" s="114"/>
      <c r="D87" s="784"/>
      <c r="E87" s="784"/>
      <c r="F87" s="784"/>
      <c r="G87" s="785"/>
      <c r="H87" s="105"/>
    </row>
    <row r="88" spans="1:8" ht="13.5" thickBot="1" x14ac:dyDescent="0.25">
      <c r="A88" s="115"/>
      <c r="B88" s="116"/>
      <c r="C88" s="117"/>
      <c r="D88" s="776"/>
      <c r="E88" s="776"/>
      <c r="F88" s="776"/>
      <c r="G88" s="777"/>
      <c r="H88" s="105"/>
    </row>
  </sheetData>
  <sheetProtection password="F828" sheet="1"/>
  <mergeCells count="40">
    <mergeCell ref="B80:G80"/>
    <mergeCell ref="D87:G87"/>
    <mergeCell ref="B77:G77"/>
    <mergeCell ref="B23:G23"/>
    <mergeCell ref="B75:G75"/>
    <mergeCell ref="B61:G61"/>
    <mergeCell ref="B62:G62"/>
    <mergeCell ref="B68:G68"/>
    <mergeCell ref="B74:G74"/>
    <mergeCell ref="B67:G67"/>
    <mergeCell ref="B48:G48"/>
    <mergeCell ref="D88:G88"/>
    <mergeCell ref="D83:G83"/>
    <mergeCell ref="D84:G84"/>
    <mergeCell ref="D85:G85"/>
    <mergeCell ref="D86:G86"/>
    <mergeCell ref="A1:G1"/>
    <mergeCell ref="B4:G4"/>
    <mergeCell ref="B22:G22"/>
    <mergeCell ref="B29:G29"/>
    <mergeCell ref="B25:G25"/>
    <mergeCell ref="B12:G12"/>
    <mergeCell ref="B13:G13"/>
    <mergeCell ref="B24:G24"/>
    <mergeCell ref="B27:G27"/>
    <mergeCell ref="B26:G26"/>
    <mergeCell ref="B10:G10"/>
    <mergeCell ref="B76:G76"/>
    <mergeCell ref="B60:G60"/>
    <mergeCell ref="B42:G42"/>
    <mergeCell ref="B39:G39"/>
    <mergeCell ref="C46:G46"/>
    <mergeCell ref="B59:G59"/>
    <mergeCell ref="B51:G51"/>
    <mergeCell ref="B58:G58"/>
    <mergeCell ref="B64:G65"/>
    <mergeCell ref="B19:G19"/>
    <mergeCell ref="B21:G21"/>
    <mergeCell ref="B20:G20"/>
    <mergeCell ref="B47:G47"/>
  </mergeCells>
  <pageMargins left="0.7" right="0.7" top="0.75" bottom="0.75" header="0.3" footer="0.3"/>
  <pageSetup scale="82" fitToHeight="0" orientation="portrait" r:id="rId1"/>
  <headerFooter>
    <oddFooter>&amp;L       &amp;F&amp;C&amp;"Arial,Regular"Page &amp;P of &amp;N
&amp;R&amp;A</oddFooter>
  </headerFooter>
  <rowBreaks count="3" manualBreakCount="3">
    <brk id="16" max="6" man="1"/>
    <brk id="49" max="6" man="1"/>
    <brk id="65" max="6" man="1"/>
  </row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31"/>
  <sheetViews>
    <sheetView view="pageBreakPreview" topLeftCell="A4" zoomScaleNormal="100" zoomScaleSheetLayoutView="100" workbookViewId="0">
      <selection activeCell="A2" sqref="A2"/>
    </sheetView>
  </sheetViews>
  <sheetFormatPr defaultRowHeight="12.75" x14ac:dyDescent="0.2"/>
  <cols>
    <col min="1" max="16384" width="9.33203125" style="126"/>
  </cols>
  <sheetData>
    <row r="1" spans="1:12" ht="38.25" customHeight="1" x14ac:dyDescent="0.3">
      <c r="A1" s="773" t="s">
        <v>597</v>
      </c>
      <c r="B1" s="773"/>
      <c r="C1" s="773"/>
      <c r="D1" s="773"/>
      <c r="E1" s="773"/>
      <c r="F1" s="773"/>
      <c r="G1" s="773"/>
      <c r="H1" s="773"/>
      <c r="I1" s="773"/>
      <c r="J1" s="773"/>
      <c r="K1" s="773"/>
      <c r="L1" s="773"/>
    </row>
    <row r="2" spans="1:12" ht="15.75" x14ac:dyDescent="0.25">
      <c r="A2" s="175"/>
    </row>
    <row r="3" spans="1:12" customFormat="1" ht="15" x14ac:dyDescent="0.2">
      <c r="A3" s="627" t="s">
        <v>155</v>
      </c>
      <c r="B3" s="627"/>
      <c r="C3" s="627"/>
      <c r="D3" s="99"/>
      <c r="E3" s="99"/>
      <c r="F3" s="99"/>
      <c r="G3" s="99"/>
      <c r="H3" s="97"/>
    </row>
    <row r="4" spans="1:12" customFormat="1" ht="106.5" customHeight="1" x14ac:dyDescent="0.2">
      <c r="A4" s="583">
        <v>1</v>
      </c>
      <c r="B4" s="774" t="s">
        <v>688</v>
      </c>
      <c r="C4" s="774"/>
      <c r="D4" s="774"/>
      <c r="E4" s="774"/>
      <c r="F4" s="774"/>
      <c r="G4" s="774"/>
      <c r="H4" s="774"/>
      <c r="I4" s="774"/>
      <c r="J4" s="774"/>
      <c r="K4" s="774"/>
      <c r="L4" s="774"/>
    </row>
    <row r="5" spans="1:12" customFormat="1" ht="230.25" customHeight="1" x14ac:dyDescent="0.2">
      <c r="A5" s="583">
        <v>2</v>
      </c>
      <c r="B5" s="774" t="s">
        <v>792</v>
      </c>
      <c r="C5" s="774"/>
      <c r="D5" s="774"/>
      <c r="E5" s="774"/>
      <c r="F5" s="774"/>
      <c r="G5" s="774"/>
      <c r="H5" s="774"/>
      <c r="I5" s="774"/>
      <c r="J5" s="774"/>
      <c r="K5" s="774"/>
      <c r="L5" s="774"/>
    </row>
    <row r="6" spans="1:12" customFormat="1" ht="97.5" customHeight="1" x14ac:dyDescent="0.2">
      <c r="A6" s="583">
        <v>3</v>
      </c>
      <c r="B6" s="774" t="s">
        <v>717</v>
      </c>
      <c r="C6" s="774"/>
      <c r="D6" s="774"/>
      <c r="E6" s="774"/>
      <c r="F6" s="774"/>
      <c r="G6" s="774"/>
      <c r="H6" s="774"/>
      <c r="I6" s="774"/>
      <c r="J6" s="774"/>
      <c r="K6" s="774"/>
      <c r="L6" s="774"/>
    </row>
    <row r="7" spans="1:12" customFormat="1" ht="64.5" customHeight="1" x14ac:dyDescent="0.2">
      <c r="A7" s="583">
        <v>4</v>
      </c>
      <c r="B7" s="788" t="s">
        <v>715</v>
      </c>
      <c r="C7" s="788"/>
      <c r="D7" s="788"/>
      <c r="E7" s="788"/>
      <c r="F7" s="788"/>
      <c r="G7" s="788"/>
      <c r="H7" s="788"/>
      <c r="I7" s="788"/>
      <c r="J7" s="788"/>
      <c r="K7" s="788"/>
      <c r="L7" s="788"/>
    </row>
    <row r="8" spans="1:12" customFormat="1" ht="106.5" customHeight="1" x14ac:dyDescent="0.2">
      <c r="A8" s="583">
        <v>5</v>
      </c>
      <c r="B8" s="789" t="s">
        <v>716</v>
      </c>
      <c r="C8" s="789"/>
      <c r="D8" s="789"/>
      <c r="E8" s="789"/>
      <c r="F8" s="789"/>
      <c r="G8" s="789"/>
      <c r="H8" s="789"/>
      <c r="I8" s="789"/>
      <c r="J8" s="789"/>
      <c r="K8" s="789"/>
      <c r="L8" s="789"/>
    </row>
    <row r="9" spans="1:12" customFormat="1" ht="34.5" customHeight="1" x14ac:dyDescent="0.2">
      <c r="A9" s="583">
        <v>6</v>
      </c>
      <c r="B9" s="787" t="s">
        <v>594</v>
      </c>
      <c r="C9" s="787"/>
      <c r="D9" s="787"/>
      <c r="E9" s="787"/>
      <c r="F9" s="787"/>
      <c r="G9" s="787"/>
      <c r="H9" s="787"/>
      <c r="I9" s="787"/>
      <c r="J9" s="787"/>
      <c r="K9" s="787"/>
      <c r="L9" s="787"/>
    </row>
    <row r="10" spans="1:12" customFormat="1" ht="15" x14ac:dyDescent="0.2">
      <c r="A10" s="583"/>
      <c r="B10" s="704"/>
      <c r="C10" s="704"/>
      <c r="D10" s="704"/>
      <c r="E10" s="704"/>
      <c r="F10" s="704"/>
      <c r="G10" s="704"/>
      <c r="H10" s="704"/>
      <c r="I10" s="704"/>
      <c r="J10" s="704"/>
      <c r="K10" s="704"/>
      <c r="L10" s="704"/>
    </row>
    <row r="11" spans="1:12" customFormat="1" ht="15" x14ac:dyDescent="0.2">
      <c r="A11" s="583"/>
      <c r="B11" s="704"/>
      <c r="C11" s="704"/>
      <c r="D11" s="704"/>
      <c r="E11" s="704"/>
      <c r="F11" s="704"/>
      <c r="G11" s="704"/>
      <c r="H11" s="704"/>
      <c r="I11" s="704"/>
      <c r="J11" s="704"/>
      <c r="K11" s="704"/>
      <c r="L11" s="704"/>
    </row>
    <row r="12" spans="1:12" customFormat="1" ht="15" x14ac:dyDescent="0.2">
      <c r="A12" s="583"/>
      <c r="B12" s="704"/>
      <c r="C12" s="704"/>
      <c r="D12" s="704"/>
      <c r="E12" s="704"/>
      <c r="F12" s="704"/>
      <c r="G12" s="704"/>
      <c r="H12" s="704"/>
      <c r="I12" s="704"/>
      <c r="J12" s="704"/>
      <c r="K12" s="704"/>
      <c r="L12" s="704"/>
    </row>
    <row r="13" spans="1:12" customFormat="1" ht="15" x14ac:dyDescent="0.2">
      <c r="A13" s="583"/>
      <c r="B13" s="704"/>
      <c r="C13" s="704"/>
      <c r="D13" s="704"/>
      <c r="E13" s="704"/>
      <c r="F13" s="704"/>
      <c r="G13" s="704"/>
      <c r="H13" s="704"/>
      <c r="I13" s="704"/>
      <c r="J13" s="704"/>
      <c r="K13" s="704"/>
      <c r="L13" s="704"/>
    </row>
    <row r="47" spans="2:11" x14ac:dyDescent="0.2">
      <c r="B47" s="790" t="s">
        <v>679</v>
      </c>
      <c r="C47" s="790"/>
      <c r="D47" s="790"/>
      <c r="E47" s="790"/>
      <c r="F47" s="790"/>
      <c r="G47" s="790"/>
      <c r="H47" s="790"/>
      <c r="I47" s="790"/>
      <c r="J47" s="790"/>
      <c r="K47" s="790"/>
    </row>
    <row r="83" spans="5:8" x14ac:dyDescent="0.2">
      <c r="E83" s="790" t="s">
        <v>689</v>
      </c>
      <c r="F83" s="790"/>
      <c r="G83" s="790"/>
      <c r="H83" s="790"/>
    </row>
    <row r="85" spans="5:8" ht="15.75" customHeight="1" x14ac:dyDescent="0.2"/>
    <row r="105" spans="2:11" x14ac:dyDescent="0.2">
      <c r="B105" s="791"/>
      <c r="C105" s="791"/>
      <c r="D105" s="791"/>
      <c r="E105" s="791"/>
      <c r="H105" s="791"/>
      <c r="I105" s="791"/>
      <c r="J105" s="791"/>
      <c r="K105" s="791"/>
    </row>
    <row r="107" spans="2:11" x14ac:dyDescent="0.2">
      <c r="E107" s="790"/>
      <c r="F107" s="790"/>
      <c r="G107" s="790"/>
      <c r="H107" s="790"/>
    </row>
    <row r="131" spans="5:8" x14ac:dyDescent="0.2">
      <c r="E131" s="790"/>
      <c r="F131" s="790"/>
      <c r="G131" s="790"/>
      <c r="H131" s="790"/>
    </row>
  </sheetData>
  <sheetProtection password="F828" sheet="1"/>
  <mergeCells count="13">
    <mergeCell ref="B47:K47"/>
    <mergeCell ref="E131:H131"/>
    <mergeCell ref="E83:H83"/>
    <mergeCell ref="E107:H107"/>
    <mergeCell ref="B105:E105"/>
    <mergeCell ref="H105:K105"/>
    <mergeCell ref="B9:L9"/>
    <mergeCell ref="B6:L6"/>
    <mergeCell ref="B7:L7"/>
    <mergeCell ref="B8:L8"/>
    <mergeCell ref="A1:L1"/>
    <mergeCell ref="B4:L4"/>
    <mergeCell ref="B5:L5"/>
  </mergeCells>
  <pageMargins left="0.7" right="0.7" top="0.75" bottom="0.75" header="0.3" footer="0.3"/>
  <pageSetup scale="90" fitToHeight="0" orientation="portrait" r:id="rId1"/>
  <headerFooter>
    <oddFooter>&amp;L&amp;F&amp;C&amp;P of &amp;N&amp;R&amp;A</oddFooter>
  </headerFooter>
  <rowBreaks count="2" manualBreakCount="2">
    <brk id="9" max="11" man="1"/>
    <brk id="48" max="11" man="1"/>
  </row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160"/>
  <sheetViews>
    <sheetView view="pageBreakPreview" zoomScaleNormal="100" zoomScaleSheetLayoutView="100" workbookViewId="0">
      <selection activeCell="D48" sqref="D48"/>
    </sheetView>
  </sheetViews>
  <sheetFormatPr defaultRowHeight="12.75" x14ac:dyDescent="0.2"/>
  <cols>
    <col min="1" max="1" width="13.33203125" style="154" customWidth="1"/>
    <col min="2" max="2" width="8.6640625" style="154" customWidth="1"/>
    <col min="3" max="3" width="13" style="154" customWidth="1"/>
    <col min="4" max="4" width="11.1640625" style="154" customWidth="1"/>
    <col min="5" max="5" width="13" style="154" customWidth="1"/>
    <col min="6" max="6" width="11.33203125" style="154" customWidth="1"/>
    <col min="7" max="7" width="10.5" style="154" customWidth="1"/>
    <col min="8" max="8" width="12.83203125" style="154" customWidth="1"/>
    <col min="9" max="10" width="9.5" style="154" customWidth="1"/>
    <col min="11" max="12" width="9.33203125" style="154"/>
    <col min="13" max="13" width="12.33203125" style="154" customWidth="1"/>
    <col min="14" max="14" width="10.1640625" style="154" customWidth="1"/>
    <col min="15" max="15" width="11.83203125" style="154" customWidth="1"/>
    <col min="16" max="16" width="23.83203125" style="154" customWidth="1"/>
    <col min="17" max="17" width="35.5" style="154" customWidth="1"/>
    <col min="18" max="18" width="9.33203125" style="154"/>
    <col min="19" max="19" width="20.1640625" style="154" customWidth="1"/>
    <col min="20" max="20" width="24.5" style="154" customWidth="1"/>
    <col min="21" max="21" width="28" style="154" customWidth="1"/>
    <col min="22" max="22" width="12.33203125" style="154" customWidth="1"/>
    <col min="23" max="23" width="16.83203125" style="154" customWidth="1"/>
    <col min="24" max="16384" width="9.33203125" style="154"/>
  </cols>
  <sheetData>
    <row r="1" spans="1:10" ht="18" x14ac:dyDescent="0.25">
      <c r="A1" s="515" t="s">
        <v>598</v>
      </c>
      <c r="B1" s="118"/>
      <c r="C1" s="119"/>
      <c r="D1" s="119"/>
      <c r="E1" s="119"/>
      <c r="F1" s="119"/>
      <c r="G1" s="119"/>
      <c r="H1" s="119"/>
      <c r="I1" s="119"/>
      <c r="J1" s="119"/>
    </row>
    <row r="2" spans="1:10" ht="18" x14ac:dyDescent="0.25">
      <c r="A2" s="118"/>
      <c r="B2" s="118"/>
      <c r="C2" s="119"/>
      <c r="D2" s="119"/>
      <c r="E2" s="119"/>
      <c r="F2" s="119"/>
      <c r="G2" s="119"/>
      <c r="H2" s="119"/>
      <c r="I2" s="119"/>
      <c r="J2" s="119"/>
    </row>
    <row r="3" spans="1:10" x14ac:dyDescent="0.2">
      <c r="A3" s="120" t="s">
        <v>161</v>
      </c>
      <c r="B3" s="792">
        <v>12</v>
      </c>
      <c r="C3" s="793"/>
      <c r="D3" s="793"/>
      <c r="E3" s="793"/>
      <c r="F3" s="794"/>
      <c r="G3" s="121"/>
      <c r="H3" s="121"/>
      <c r="I3" s="121"/>
      <c r="J3" s="121"/>
    </row>
    <row r="4" spans="1:10" x14ac:dyDescent="0.2">
      <c r="A4" s="120" t="s">
        <v>162</v>
      </c>
      <c r="B4" s="792" t="s">
        <v>163</v>
      </c>
      <c r="C4" s="793"/>
      <c r="D4" s="793"/>
      <c r="E4" s="793"/>
      <c r="F4" s="794"/>
      <c r="G4" s="121"/>
      <c r="H4" s="121"/>
      <c r="I4" s="121"/>
      <c r="J4" s="121"/>
    </row>
    <row r="5" spans="1:10" x14ac:dyDescent="0.2">
      <c r="A5" s="120" t="s">
        <v>164</v>
      </c>
      <c r="B5" s="122" t="s">
        <v>165</v>
      </c>
      <c r="C5" s="120" t="s">
        <v>166</v>
      </c>
      <c r="D5" s="123">
        <v>40744</v>
      </c>
      <c r="E5" s="121"/>
      <c r="F5" s="121"/>
      <c r="G5" s="121"/>
      <c r="H5" s="121"/>
      <c r="I5" s="121"/>
      <c r="J5" s="121"/>
    </row>
    <row r="6" spans="1:10" x14ac:dyDescent="0.2">
      <c r="A6" s="120" t="s">
        <v>167</v>
      </c>
      <c r="B6" s="122" t="s">
        <v>168</v>
      </c>
      <c r="C6" s="120" t="s">
        <v>166</v>
      </c>
      <c r="D6" s="123" t="s">
        <v>168</v>
      </c>
      <c r="E6" s="121"/>
      <c r="F6" s="121"/>
      <c r="G6" s="121"/>
      <c r="H6" s="121"/>
      <c r="I6" s="121"/>
      <c r="J6" s="121"/>
    </row>
    <row r="8" spans="1:10" x14ac:dyDescent="0.2">
      <c r="A8" s="127" t="s">
        <v>169</v>
      </c>
      <c r="B8" s="119"/>
      <c r="C8" s="119"/>
      <c r="D8" s="119"/>
      <c r="E8" s="119"/>
      <c r="F8" s="119"/>
      <c r="G8" s="119"/>
      <c r="H8" s="119"/>
      <c r="I8" s="119"/>
      <c r="J8" s="119"/>
    </row>
    <row r="9" spans="1:10" ht="41.25" customHeight="1" x14ac:dyDescent="0.2">
      <c r="A9" s="795" t="s">
        <v>593</v>
      </c>
      <c r="B9" s="795"/>
      <c r="C9" s="795"/>
      <c r="D9" s="795"/>
      <c r="E9" s="795"/>
      <c r="F9" s="795"/>
      <c r="G9" s="795"/>
      <c r="H9" s="795"/>
      <c r="I9" s="795"/>
      <c r="J9" s="538"/>
    </row>
    <row r="10" spans="1:10" ht="27" customHeight="1" x14ac:dyDescent="0.2">
      <c r="A10" s="796" t="s">
        <v>729</v>
      </c>
      <c r="B10" s="796"/>
      <c r="C10" s="796"/>
      <c r="D10" s="796"/>
      <c r="E10" s="796"/>
      <c r="F10" s="796"/>
      <c r="G10" s="796"/>
      <c r="H10" s="796"/>
      <c r="I10" s="796"/>
      <c r="J10" s="539"/>
    </row>
    <row r="11" spans="1:10" x14ac:dyDescent="0.2">
      <c r="A11" s="128" t="s">
        <v>730</v>
      </c>
      <c r="B11" s="119"/>
      <c r="C11" s="119"/>
      <c r="D11" s="119"/>
      <c r="E11" s="119"/>
      <c r="F11" s="119"/>
      <c r="G11" s="119"/>
      <c r="H11" s="119"/>
      <c r="I11" s="119"/>
      <c r="J11" s="119"/>
    </row>
    <row r="12" spans="1:10" x14ac:dyDescent="0.2">
      <c r="A12" s="128" t="s">
        <v>690</v>
      </c>
      <c r="B12" s="119"/>
      <c r="C12" s="119"/>
      <c r="D12" s="119"/>
      <c r="E12" s="119"/>
      <c r="F12" s="119"/>
      <c r="G12" s="119"/>
      <c r="H12" s="119"/>
      <c r="I12" s="119"/>
      <c r="J12" s="119"/>
    </row>
    <row r="14" spans="1:10" ht="15" x14ac:dyDescent="0.25">
      <c r="A14" s="166" t="s">
        <v>170</v>
      </c>
      <c r="B14" s="119"/>
      <c r="C14" s="119"/>
      <c r="D14" s="119"/>
      <c r="E14" s="119"/>
      <c r="F14" s="119"/>
      <c r="G14" s="119"/>
      <c r="H14" s="119"/>
      <c r="I14" s="119"/>
      <c r="J14" s="119"/>
    </row>
    <row r="15" spans="1:10" ht="15" x14ac:dyDescent="0.25">
      <c r="A15" s="166"/>
      <c r="B15" s="119"/>
      <c r="C15" s="119"/>
      <c r="D15" s="119"/>
      <c r="E15" s="119"/>
      <c r="F15" s="119"/>
      <c r="G15" s="119"/>
      <c r="H15" s="119"/>
      <c r="I15" s="119"/>
      <c r="J15" s="119"/>
    </row>
    <row r="16" spans="1:10" x14ac:dyDescent="0.2">
      <c r="A16" s="639"/>
      <c r="B16" s="125" t="s">
        <v>602</v>
      </c>
      <c r="C16" s="125"/>
      <c r="D16" s="125"/>
      <c r="E16" s="125"/>
      <c r="F16" s="125"/>
      <c r="G16" s="125"/>
      <c r="H16" s="125"/>
      <c r="I16" s="125"/>
      <c r="J16" s="119"/>
    </row>
    <row r="17" spans="1:23" ht="25.5" x14ac:dyDescent="0.2">
      <c r="A17" s="639"/>
      <c r="B17" s="125"/>
      <c r="D17" s="120" t="s">
        <v>602</v>
      </c>
      <c r="E17" s="761" t="s">
        <v>608</v>
      </c>
      <c r="F17" s="125"/>
      <c r="G17" s="125"/>
      <c r="H17" s="125"/>
      <c r="I17" s="125"/>
      <c r="J17" s="119"/>
    </row>
    <row r="18" spans="1:23" x14ac:dyDescent="0.2">
      <c r="A18" s="639"/>
      <c r="B18" s="125"/>
      <c r="D18" s="120"/>
      <c r="E18" s="754"/>
      <c r="F18" s="125"/>
      <c r="G18" s="125"/>
      <c r="H18" s="125"/>
      <c r="I18" s="125"/>
      <c r="J18" s="119"/>
    </row>
    <row r="19" spans="1:23" x14ac:dyDescent="0.2">
      <c r="A19" s="639"/>
      <c r="B19" s="125" t="s">
        <v>732</v>
      </c>
      <c r="D19" s="125"/>
      <c r="E19" s="125"/>
      <c r="F19" s="125"/>
      <c r="G19" s="125"/>
      <c r="H19" s="125"/>
      <c r="I19" s="125"/>
      <c r="J19" s="119"/>
    </row>
    <row r="20" spans="1:23" x14ac:dyDescent="0.2">
      <c r="A20" s="639"/>
      <c r="B20" s="125"/>
      <c r="D20" s="640" t="s">
        <v>603</v>
      </c>
      <c r="E20" s="761">
        <v>1000</v>
      </c>
      <c r="F20" s="808" t="s">
        <v>731</v>
      </c>
      <c r="G20" s="809"/>
      <c r="H20" s="809"/>
      <c r="I20" s="809"/>
      <c r="J20" s="119"/>
    </row>
    <row r="21" spans="1:23" x14ac:dyDescent="0.2">
      <c r="A21" s="639"/>
      <c r="B21" s="125"/>
      <c r="D21" s="125"/>
      <c r="E21" s="125"/>
      <c r="F21" s="125"/>
      <c r="G21" s="125"/>
      <c r="H21" s="125"/>
      <c r="I21" s="125"/>
      <c r="J21" s="119"/>
    </row>
    <row r="22" spans="1:23" ht="13.5" thickBot="1" x14ac:dyDescent="0.25">
      <c r="A22" s="639"/>
      <c r="B22" s="125" t="s">
        <v>733</v>
      </c>
      <c r="E22" s="125"/>
      <c r="F22" s="125"/>
      <c r="G22" s="125"/>
      <c r="H22" s="125"/>
      <c r="I22" s="125"/>
      <c r="J22" s="119"/>
    </row>
    <row r="23" spans="1:23" ht="39" thickBot="1" x14ac:dyDescent="0.25">
      <c r="A23" s="639"/>
      <c r="B23" s="125"/>
      <c r="C23" s="125"/>
      <c r="D23" s="645" t="s">
        <v>283</v>
      </c>
      <c r="E23" s="646" t="s">
        <v>605</v>
      </c>
      <c r="F23" s="647" t="s">
        <v>606</v>
      </c>
      <c r="G23" s="125"/>
      <c r="H23" s="125"/>
      <c r="I23" s="125"/>
      <c r="J23" s="119"/>
    </row>
    <row r="24" spans="1:23" x14ac:dyDescent="0.2">
      <c r="A24" s="639"/>
      <c r="B24" s="125"/>
      <c r="C24" s="125"/>
      <c r="D24" s="648" t="s">
        <v>36</v>
      </c>
      <c r="E24" s="759"/>
      <c r="F24" s="760"/>
      <c r="G24" s="125"/>
      <c r="H24" s="125"/>
      <c r="I24" s="125"/>
      <c r="J24" s="119"/>
    </row>
    <row r="25" spans="1:23" x14ac:dyDescent="0.2">
      <c r="A25" s="639"/>
      <c r="B25" s="125"/>
      <c r="C25" s="125"/>
      <c r="D25" s="649" t="s">
        <v>37</v>
      </c>
      <c r="E25" s="761"/>
      <c r="F25" s="762"/>
      <c r="G25" s="125"/>
      <c r="H25" s="125"/>
      <c r="I25" s="125"/>
      <c r="J25" s="119"/>
    </row>
    <row r="26" spans="1:23" ht="13.5" thickBot="1" x14ac:dyDescent="0.25">
      <c r="A26" s="639"/>
      <c r="B26" s="125"/>
      <c r="C26" s="125"/>
      <c r="D26" s="650" t="s">
        <v>38</v>
      </c>
      <c r="E26" s="763"/>
      <c r="F26" s="764"/>
      <c r="G26" s="125"/>
      <c r="H26" s="125"/>
      <c r="I26" s="125"/>
      <c r="J26" s="119"/>
    </row>
    <row r="27" spans="1:23" ht="13.5" thickBot="1" x14ac:dyDescent="0.25">
      <c r="A27" s="639"/>
      <c r="B27" s="125"/>
      <c r="C27" s="125"/>
      <c r="D27" s="125"/>
      <c r="E27" s="125"/>
      <c r="F27" s="125"/>
      <c r="G27" s="125"/>
      <c r="H27" s="125"/>
      <c r="I27" s="125"/>
      <c r="J27" s="119"/>
    </row>
    <row r="28" spans="1:23" ht="13.5" thickBot="1" x14ac:dyDescent="0.25">
      <c r="B28" s="119"/>
      <c r="C28" s="119"/>
      <c r="D28" s="797" t="s">
        <v>668</v>
      </c>
      <c r="E28" s="798"/>
      <c r="F28" s="799"/>
      <c r="J28" s="119"/>
      <c r="M28" s="144" t="s">
        <v>200</v>
      </c>
    </row>
    <row r="29" spans="1:23" x14ac:dyDescent="0.2">
      <c r="B29" s="800" t="s">
        <v>171</v>
      </c>
      <c r="C29" s="805" t="s">
        <v>172</v>
      </c>
      <c r="D29" s="814" t="s">
        <v>178</v>
      </c>
      <c r="E29" s="816" t="s">
        <v>784</v>
      </c>
      <c r="F29" s="819" t="s">
        <v>734</v>
      </c>
      <c r="J29" s="119"/>
      <c r="M29" s="142" t="s">
        <v>183</v>
      </c>
      <c r="N29" s="142" t="s">
        <v>184</v>
      </c>
      <c r="O29" s="142" t="s">
        <v>231</v>
      </c>
      <c r="P29" s="162" t="s">
        <v>601</v>
      </c>
      <c r="Q29" s="142" t="s">
        <v>266</v>
      </c>
      <c r="R29" s="164" t="s">
        <v>216</v>
      </c>
      <c r="S29" s="724" t="s">
        <v>222</v>
      </c>
      <c r="T29" s="232" t="s">
        <v>242</v>
      </c>
      <c r="U29" s="724" t="s">
        <v>306</v>
      </c>
      <c r="V29" s="725" t="s">
        <v>321</v>
      </c>
      <c r="W29" s="164" t="s">
        <v>607</v>
      </c>
    </row>
    <row r="30" spans="1:23" ht="53.25" customHeight="1" thickBot="1" x14ac:dyDescent="0.25">
      <c r="B30" s="801"/>
      <c r="C30" s="806"/>
      <c r="D30" s="815"/>
      <c r="E30" s="817"/>
      <c r="F30" s="820"/>
      <c r="J30" s="119"/>
      <c r="M30" s="138" t="s">
        <v>173</v>
      </c>
      <c r="N30" s="599" t="s">
        <v>173</v>
      </c>
      <c r="O30" s="188" t="s">
        <v>211</v>
      </c>
      <c r="P30" s="189" t="s">
        <v>502</v>
      </c>
      <c r="Q30" s="186" t="s">
        <v>502</v>
      </c>
      <c r="R30" s="190" t="s">
        <v>173</v>
      </c>
      <c r="S30" s="542" t="s">
        <v>50</v>
      </c>
      <c r="T30" s="233" t="s">
        <v>511</v>
      </c>
      <c r="U30" s="542" t="s">
        <v>173</v>
      </c>
      <c r="V30" s="726">
        <v>1</v>
      </c>
      <c r="W30" s="195" t="s">
        <v>608</v>
      </c>
    </row>
    <row r="31" spans="1:23" x14ac:dyDescent="0.2">
      <c r="B31" s="137" t="s">
        <v>179</v>
      </c>
      <c r="C31" s="139" t="s">
        <v>600</v>
      </c>
      <c r="D31" s="131"/>
      <c r="E31" s="132" t="s">
        <v>173</v>
      </c>
      <c r="F31" s="133">
        <v>0</v>
      </c>
      <c r="J31" s="119"/>
      <c r="M31" s="138" t="s">
        <v>174</v>
      </c>
      <c r="N31" s="598" t="s">
        <v>550</v>
      </c>
      <c r="O31" s="188" t="s">
        <v>212</v>
      </c>
      <c r="P31" s="185" t="s">
        <v>503</v>
      </c>
      <c r="Q31" s="176" t="s">
        <v>503</v>
      </c>
      <c r="R31" s="138" t="s">
        <v>217</v>
      </c>
      <c r="S31" s="542" t="s">
        <v>223</v>
      </c>
      <c r="T31" s="233" t="s">
        <v>202</v>
      </c>
      <c r="U31" s="542">
        <v>0.875</v>
      </c>
      <c r="V31" s="726">
        <v>2</v>
      </c>
      <c r="W31" s="641" t="s">
        <v>609</v>
      </c>
    </row>
    <row r="32" spans="1:23" x14ac:dyDescent="0.2">
      <c r="B32" s="130" t="s">
        <v>26</v>
      </c>
      <c r="C32" s="140" t="s">
        <v>176</v>
      </c>
      <c r="D32" s="135" t="s">
        <v>173</v>
      </c>
      <c r="E32" s="136"/>
      <c r="F32" s="240">
        <f>IF(D32="None",0,8.5)</f>
        <v>0</v>
      </c>
      <c r="J32" s="119"/>
      <c r="M32" s="141" t="s">
        <v>181</v>
      </c>
      <c r="N32" s="599" t="s">
        <v>551</v>
      </c>
      <c r="O32" s="124"/>
      <c r="P32" s="141" t="s">
        <v>501</v>
      </c>
      <c r="Q32" s="187" t="s">
        <v>501</v>
      </c>
      <c r="R32" s="138" t="s">
        <v>220</v>
      </c>
      <c r="S32" s="542" t="s">
        <v>224</v>
      </c>
      <c r="U32" s="542">
        <v>1</v>
      </c>
      <c r="V32" s="94"/>
    </row>
    <row r="33" spans="1:22" ht="13.5" thickBot="1" x14ac:dyDescent="0.25">
      <c r="B33" s="156"/>
      <c r="C33" s="157" t="s">
        <v>87</v>
      </c>
      <c r="D33" s="153" t="s">
        <v>212</v>
      </c>
      <c r="E33" s="158"/>
      <c r="F33" s="241">
        <f>IF(D33="Yes",4.5,0)</f>
        <v>0</v>
      </c>
      <c r="J33" s="119"/>
      <c r="M33" s="141" t="s">
        <v>175</v>
      </c>
      <c r="N33" s="598" t="s">
        <v>552</v>
      </c>
      <c r="O33" s="143"/>
      <c r="P33" s="190" t="s">
        <v>504</v>
      </c>
      <c r="Q33" s="163" t="s">
        <v>505</v>
      </c>
      <c r="R33" s="138" t="s">
        <v>218</v>
      </c>
      <c r="S33" s="542" t="s">
        <v>41</v>
      </c>
      <c r="U33" s="542">
        <v>1.125</v>
      </c>
      <c r="V33" s="94"/>
    </row>
    <row r="34" spans="1:22" x14ac:dyDescent="0.2">
      <c r="J34" s="119"/>
      <c r="M34" s="141" t="s">
        <v>186</v>
      </c>
      <c r="N34" s="598" t="s">
        <v>553</v>
      </c>
      <c r="O34" s="143"/>
      <c r="P34" s="190" t="s">
        <v>505</v>
      </c>
      <c r="Q34" s="193" t="s">
        <v>202</v>
      </c>
      <c r="R34" s="138" t="s">
        <v>219</v>
      </c>
      <c r="S34" s="542" t="s">
        <v>225</v>
      </c>
      <c r="U34" s="542">
        <v>1.25</v>
      </c>
      <c r="V34" s="94"/>
    </row>
    <row r="35" spans="1:22" ht="37.5" customHeight="1" x14ac:dyDescent="0.2">
      <c r="A35" s="807" t="s">
        <v>777</v>
      </c>
      <c r="B35" s="807"/>
      <c r="C35" s="807"/>
      <c r="D35" s="807"/>
      <c r="E35" s="807"/>
      <c r="F35" s="807"/>
      <c r="G35" s="807"/>
      <c r="H35" s="807"/>
      <c r="I35" s="807"/>
      <c r="J35" s="119"/>
      <c r="M35" s="141" t="s">
        <v>188</v>
      </c>
      <c r="N35" s="600" t="s">
        <v>554</v>
      </c>
      <c r="O35" s="124"/>
      <c r="P35" s="190" t="s">
        <v>506</v>
      </c>
      <c r="Q35" s="192"/>
      <c r="R35" s="138" t="s">
        <v>221</v>
      </c>
      <c r="S35" s="542" t="s">
        <v>226</v>
      </c>
      <c r="U35" s="542">
        <v>1.375</v>
      </c>
      <c r="V35" s="94"/>
    </row>
    <row r="36" spans="1:22" x14ac:dyDescent="0.2">
      <c r="A36" s="128" t="s">
        <v>599</v>
      </c>
      <c r="B36" s="119"/>
      <c r="C36" s="119"/>
      <c r="D36" s="119"/>
      <c r="E36" s="119"/>
      <c r="F36" s="119"/>
      <c r="G36" s="119"/>
      <c r="H36" s="119"/>
      <c r="I36" s="119"/>
      <c r="J36" s="119"/>
      <c r="M36" s="141" t="s">
        <v>189</v>
      </c>
      <c r="N36" s="600" t="s">
        <v>177</v>
      </c>
      <c r="O36" s="124"/>
      <c r="P36" s="190" t="s">
        <v>507</v>
      </c>
      <c r="Q36" s="192"/>
      <c r="R36" s="165"/>
      <c r="S36" s="542" t="s">
        <v>227</v>
      </c>
      <c r="U36" s="542">
        <v>1.5</v>
      </c>
      <c r="V36" s="94"/>
    </row>
    <row r="37" spans="1:22" x14ac:dyDescent="0.2">
      <c r="A37" s="119"/>
      <c r="B37" s="119"/>
      <c r="C37" s="119"/>
      <c r="D37" s="119"/>
      <c r="E37" s="119"/>
      <c r="F37" s="119"/>
      <c r="G37" s="119"/>
      <c r="H37" s="119"/>
      <c r="I37" s="119"/>
      <c r="J37" s="119"/>
      <c r="M37" s="141" t="s">
        <v>190</v>
      </c>
      <c r="N37" s="600" t="s">
        <v>555</v>
      </c>
      <c r="O37" s="124"/>
      <c r="P37" s="190" t="s">
        <v>508</v>
      </c>
      <c r="Q37" s="192"/>
      <c r="R37" s="165"/>
      <c r="S37" s="542" t="s">
        <v>228</v>
      </c>
      <c r="U37" s="542">
        <v>1.75</v>
      </c>
      <c r="V37" s="94"/>
    </row>
    <row r="38" spans="1:22" ht="15.75" x14ac:dyDescent="0.2">
      <c r="A38" s="119"/>
      <c r="B38" s="125" t="s">
        <v>180</v>
      </c>
      <c r="C38" s="119"/>
      <c r="D38" s="119"/>
      <c r="E38" s="119"/>
      <c r="F38" s="119"/>
      <c r="G38" s="119"/>
      <c r="H38" s="119"/>
      <c r="I38" s="119"/>
      <c r="J38" s="119"/>
      <c r="M38" s="141" t="s">
        <v>191</v>
      </c>
      <c r="N38" s="600" t="s">
        <v>556</v>
      </c>
      <c r="O38" s="124"/>
      <c r="P38" s="190" t="s">
        <v>509</v>
      </c>
      <c r="R38" s="165"/>
      <c r="S38" s="542" t="s">
        <v>229</v>
      </c>
      <c r="U38" s="542">
        <v>2</v>
      </c>
    </row>
    <row r="39" spans="1:22" x14ac:dyDescent="0.2">
      <c r="A39" s="119"/>
      <c r="B39" s="125" t="s">
        <v>691</v>
      </c>
      <c r="C39" s="119"/>
      <c r="D39" s="119"/>
      <c r="E39" s="119"/>
      <c r="F39" s="119"/>
      <c r="G39" s="119"/>
      <c r="H39" s="119"/>
      <c r="I39" s="119"/>
      <c r="J39" s="119"/>
      <c r="M39" s="141" t="s">
        <v>192</v>
      </c>
      <c r="N39" s="600" t="s">
        <v>557</v>
      </c>
      <c r="O39" s="124"/>
      <c r="P39" s="190" t="s">
        <v>510</v>
      </c>
      <c r="U39" s="542">
        <v>2.25</v>
      </c>
    </row>
    <row r="40" spans="1:22" ht="12.75" customHeight="1" x14ac:dyDescent="0.2">
      <c r="A40" s="810" t="s">
        <v>776</v>
      </c>
      <c r="B40" s="810"/>
      <c r="C40" s="810"/>
      <c r="D40" s="810"/>
      <c r="E40" s="810"/>
      <c r="F40" s="119"/>
      <c r="G40" s="119"/>
      <c r="H40" s="119"/>
      <c r="I40" s="119"/>
      <c r="J40" s="119"/>
      <c r="M40" s="141" t="s">
        <v>193</v>
      </c>
      <c r="N40" s="600" t="s">
        <v>558</v>
      </c>
      <c r="O40" s="124"/>
      <c r="P40" s="190" t="s">
        <v>202</v>
      </c>
      <c r="U40" s="542">
        <v>3</v>
      </c>
    </row>
    <row r="41" spans="1:22" ht="12.75" customHeight="1" x14ac:dyDescent="0.2">
      <c r="A41" s="810"/>
      <c r="B41" s="810"/>
      <c r="C41" s="810"/>
      <c r="D41" s="810"/>
      <c r="E41" s="810"/>
      <c r="F41" s="119"/>
      <c r="G41" s="146"/>
      <c r="H41" s="146"/>
      <c r="I41" s="146"/>
      <c r="J41" s="119"/>
      <c r="M41" s="141" t="s">
        <v>194</v>
      </c>
      <c r="N41" s="600" t="s">
        <v>559</v>
      </c>
      <c r="O41" s="124"/>
    </row>
    <row r="42" spans="1:22" x14ac:dyDescent="0.2">
      <c r="A42" s="810"/>
      <c r="B42" s="810"/>
      <c r="C42" s="810"/>
      <c r="D42" s="810"/>
      <c r="E42" s="810"/>
      <c r="F42" s="818" t="s">
        <v>182</v>
      </c>
      <c r="G42" s="818"/>
      <c r="H42" s="818"/>
      <c r="I42" s="818"/>
      <c r="J42" s="119"/>
      <c r="M42" s="141" t="s">
        <v>195</v>
      </c>
      <c r="N42" s="600" t="s">
        <v>560</v>
      </c>
      <c r="O42" s="124"/>
    </row>
    <row r="43" spans="1:22" x14ac:dyDescent="0.2">
      <c r="A43" s="537"/>
      <c r="B43" s="537"/>
      <c r="C43" s="537"/>
      <c r="D43" s="316"/>
      <c r="E43" s="316"/>
      <c r="M43" s="141" t="s">
        <v>196</v>
      </c>
      <c r="N43" s="600" t="s">
        <v>561</v>
      </c>
      <c r="O43" s="124"/>
    </row>
    <row r="44" spans="1:22" ht="15" x14ac:dyDescent="0.25">
      <c r="A44" s="166" t="s">
        <v>662</v>
      </c>
      <c r="M44" s="141" t="s">
        <v>197</v>
      </c>
      <c r="N44" s="735"/>
      <c r="O44" s="124"/>
    </row>
    <row r="45" spans="1:22" x14ac:dyDescent="0.2">
      <c r="M45" s="147" t="s">
        <v>322</v>
      </c>
      <c r="N45" s="735"/>
      <c r="O45" s="124"/>
    </row>
    <row r="46" spans="1:22" x14ac:dyDescent="0.2">
      <c r="B46" s="159" t="s">
        <v>213</v>
      </c>
      <c r="M46" s="147" t="s">
        <v>323</v>
      </c>
      <c r="N46" s="735"/>
    </row>
    <row r="47" spans="1:22" ht="12.75" customHeight="1" x14ac:dyDescent="0.2">
      <c r="B47" s="159"/>
      <c r="N47" s="736"/>
    </row>
    <row r="48" spans="1:22" ht="15.75" x14ac:dyDescent="0.2">
      <c r="C48" s="145" t="s">
        <v>198</v>
      </c>
      <c r="D48" s="191" t="s">
        <v>202</v>
      </c>
      <c r="G48" s="145" t="s">
        <v>201</v>
      </c>
      <c r="H48" s="161">
        <v>65</v>
      </c>
      <c r="I48" s="154" t="s">
        <v>45</v>
      </c>
    </row>
    <row r="49" spans="1:10" ht="15.75" x14ac:dyDescent="0.2">
      <c r="C49" s="145" t="s">
        <v>199</v>
      </c>
      <c r="D49" s="138">
        <f>IF(D48="Other",H48,VLOOKUP(D48,'Pick List Data'!A58:C68,3,0))</f>
        <v>65</v>
      </c>
      <c r="E49" s="154" t="s">
        <v>45</v>
      </c>
      <c r="G49" s="803" t="s">
        <v>527</v>
      </c>
      <c r="H49" s="803"/>
      <c r="I49" s="803"/>
    </row>
    <row r="50" spans="1:10" s="155" customFormat="1" x14ac:dyDescent="0.2">
      <c r="A50" s="154"/>
      <c r="B50" s="154"/>
      <c r="C50" s="154"/>
      <c r="D50" s="154"/>
      <c r="E50" s="154"/>
      <c r="F50" s="154"/>
      <c r="G50" s="803"/>
      <c r="H50" s="803"/>
      <c r="I50" s="803"/>
    </row>
    <row r="51" spans="1:10" x14ac:dyDescent="0.2">
      <c r="B51" s="159" t="s">
        <v>214</v>
      </c>
      <c r="J51" s="540"/>
    </row>
    <row r="52" spans="1:10" x14ac:dyDescent="0.2">
      <c r="J52" s="540"/>
    </row>
    <row r="53" spans="1:10" x14ac:dyDescent="0.2">
      <c r="B53" s="155" t="s">
        <v>663</v>
      </c>
      <c r="J53" s="119"/>
    </row>
    <row r="54" spans="1:10" ht="12.75" customHeight="1" x14ac:dyDescent="0.2">
      <c r="C54" s="145" t="s">
        <v>778</v>
      </c>
      <c r="D54" s="161" t="s">
        <v>212</v>
      </c>
      <c r="E54" s="154" t="s">
        <v>232</v>
      </c>
      <c r="J54" s="119"/>
    </row>
    <row r="55" spans="1:10" x14ac:dyDescent="0.2">
      <c r="C55" s="145" t="s">
        <v>779</v>
      </c>
      <c r="D55" s="134">
        <v>55</v>
      </c>
      <c r="E55" s="154" t="s">
        <v>111</v>
      </c>
      <c r="F55" s="811" t="s">
        <v>735</v>
      </c>
      <c r="G55" s="812"/>
      <c r="H55" s="812"/>
      <c r="I55" s="812"/>
      <c r="J55" s="119"/>
    </row>
    <row r="56" spans="1:10" ht="12.75" customHeight="1" x14ac:dyDescent="0.2">
      <c r="C56" s="145" t="s">
        <v>780</v>
      </c>
      <c r="D56" s="134">
        <v>175</v>
      </c>
      <c r="E56" s="154" t="s">
        <v>111</v>
      </c>
      <c r="F56" s="811"/>
      <c r="G56" s="812"/>
      <c r="H56" s="812"/>
      <c r="I56" s="812"/>
      <c r="J56" s="119"/>
    </row>
    <row r="57" spans="1:10" x14ac:dyDescent="0.2">
      <c r="C57" s="145" t="s">
        <v>458</v>
      </c>
      <c r="D57" s="134">
        <v>15</v>
      </c>
      <c r="E57" s="154" t="s">
        <v>27</v>
      </c>
      <c r="F57" s="811"/>
      <c r="G57" s="812"/>
      <c r="H57" s="812"/>
      <c r="I57" s="812"/>
      <c r="J57" s="119"/>
    </row>
    <row r="58" spans="1:10" x14ac:dyDescent="0.2">
      <c r="J58" s="638"/>
    </row>
    <row r="59" spans="1:10" x14ac:dyDescent="0.2">
      <c r="C59" s="145" t="s">
        <v>610</v>
      </c>
      <c r="D59" s="134">
        <v>23</v>
      </c>
      <c r="E59" s="154" t="s">
        <v>27</v>
      </c>
      <c r="F59" s="671" t="str">
        <f>IF(D60&gt;34,"WARNING: Height must be ≤ 34.0'"," ")</f>
        <v xml:space="preserve"> </v>
      </c>
      <c r="J59" s="638"/>
    </row>
    <row r="60" spans="1:10" ht="24.75" customHeight="1" x14ac:dyDescent="0.2">
      <c r="C60" s="120" t="s">
        <v>667</v>
      </c>
      <c r="D60" s="244">
        <f>D59+1</f>
        <v>24</v>
      </c>
      <c r="E60" s="813" t="s">
        <v>785</v>
      </c>
      <c r="F60" s="802"/>
      <c r="G60" s="802"/>
      <c r="H60" s="802"/>
      <c r="I60" s="802"/>
    </row>
    <row r="61" spans="1:10" x14ac:dyDescent="0.2">
      <c r="C61" s="145" t="s">
        <v>233</v>
      </c>
      <c r="D61" s="134">
        <v>6.5</v>
      </c>
      <c r="E61" s="173" t="s">
        <v>235</v>
      </c>
    </row>
    <row r="62" spans="1:10" x14ac:dyDescent="0.2">
      <c r="C62" s="145" t="s">
        <v>234</v>
      </c>
      <c r="D62" s="134">
        <v>3.28</v>
      </c>
      <c r="E62" s="173" t="s">
        <v>736</v>
      </c>
    </row>
    <row r="63" spans="1:10" x14ac:dyDescent="0.2">
      <c r="C63" s="170" t="s">
        <v>215</v>
      </c>
      <c r="D63" s="160">
        <v>0.25</v>
      </c>
      <c r="E63" s="173" t="s">
        <v>236</v>
      </c>
    </row>
    <row r="64" spans="1:10" ht="12.75" customHeight="1" x14ac:dyDescent="0.2">
      <c r="C64" s="145" t="s">
        <v>237</v>
      </c>
      <c r="D64" s="160" t="s">
        <v>218</v>
      </c>
      <c r="E64" s="173" t="s">
        <v>448</v>
      </c>
    </row>
    <row r="66" spans="1:10" ht="28.5" customHeight="1" x14ac:dyDescent="0.2">
      <c r="B66" s="155" t="s">
        <v>238</v>
      </c>
    </row>
    <row r="67" spans="1:10" ht="15.75" x14ac:dyDescent="0.2">
      <c r="C67" s="145" t="s">
        <v>449</v>
      </c>
      <c r="D67" s="134">
        <v>4.5</v>
      </c>
      <c r="E67" s="154" t="s">
        <v>1</v>
      </c>
    </row>
    <row r="68" spans="1:10" ht="26.25" customHeight="1" x14ac:dyDescent="0.2">
      <c r="C68" s="145" t="s">
        <v>450</v>
      </c>
      <c r="D68" s="134">
        <v>0.75</v>
      </c>
      <c r="E68" s="154" t="s">
        <v>1</v>
      </c>
    </row>
    <row r="69" spans="1:10" x14ac:dyDescent="0.2">
      <c r="C69" s="145" t="s">
        <v>451</v>
      </c>
      <c r="D69" s="134">
        <v>3</v>
      </c>
      <c r="E69" s="154" t="s">
        <v>1</v>
      </c>
    </row>
    <row r="70" spans="1:10" x14ac:dyDescent="0.2">
      <c r="J70" s="637"/>
    </row>
    <row r="71" spans="1:10" x14ac:dyDescent="0.2">
      <c r="J71" s="171"/>
    </row>
    <row r="72" spans="1:10" ht="29.25" customHeight="1" x14ac:dyDescent="0.2">
      <c r="J72" s="171"/>
    </row>
    <row r="73" spans="1:10" ht="12.75" customHeight="1" x14ac:dyDescent="0.2">
      <c r="G73" s="804" t="s">
        <v>526</v>
      </c>
      <c r="H73" s="804"/>
      <c r="I73" s="804"/>
      <c r="J73" s="171"/>
    </row>
    <row r="74" spans="1:10" ht="15" x14ac:dyDescent="0.25">
      <c r="A74" s="166" t="s">
        <v>239</v>
      </c>
      <c r="J74" s="169"/>
    </row>
    <row r="75" spans="1:10" ht="12.75" customHeight="1" x14ac:dyDescent="0.2">
      <c r="J75" s="171"/>
    </row>
    <row r="76" spans="1:10" ht="12.75" customHeight="1" x14ac:dyDescent="0.2">
      <c r="B76" s="159" t="s">
        <v>213</v>
      </c>
      <c r="J76" s="171"/>
    </row>
    <row r="78" spans="1:10" x14ac:dyDescent="0.2">
      <c r="B78" s="155" t="s">
        <v>240</v>
      </c>
    </row>
    <row r="79" spans="1:10" ht="25.5" x14ac:dyDescent="0.2">
      <c r="C79" s="145" t="s">
        <v>198</v>
      </c>
      <c r="D79" s="191" t="s">
        <v>503</v>
      </c>
      <c r="G79" s="120" t="s">
        <v>530</v>
      </c>
      <c r="H79" s="161"/>
      <c r="I79" s="165" t="s">
        <v>45</v>
      </c>
    </row>
    <row r="80" spans="1:10" ht="15.75" x14ac:dyDescent="0.2">
      <c r="C80" s="145" t="s">
        <v>199</v>
      </c>
      <c r="D80" s="138">
        <f>IF(D79="Other",H79,VLOOKUP(D79,'Pick List Data'!E58:F62,2,0))</f>
        <v>50</v>
      </c>
      <c r="E80" s="154" t="s">
        <v>45</v>
      </c>
      <c r="G80" s="120" t="s">
        <v>540</v>
      </c>
      <c r="H80" s="161"/>
      <c r="I80" s="165" t="s">
        <v>45</v>
      </c>
    </row>
    <row r="81" spans="1:10" ht="15.75" x14ac:dyDescent="0.2">
      <c r="C81" s="145" t="s">
        <v>532</v>
      </c>
      <c r="D81" s="138">
        <f>IF(D79="Other",H80,VLOOKUP(D79,'Pick List Data'!E58:G62,3,0))</f>
        <v>65</v>
      </c>
      <c r="E81" s="154" t="s">
        <v>45</v>
      </c>
      <c r="G81" s="803" t="s">
        <v>527</v>
      </c>
      <c r="H81" s="803"/>
      <c r="I81" s="803"/>
    </row>
    <row r="82" spans="1:10" x14ac:dyDescent="0.2">
      <c r="G82" s="803"/>
      <c r="H82" s="803"/>
      <c r="I82" s="803"/>
    </row>
    <row r="83" spans="1:10" x14ac:dyDescent="0.2">
      <c r="B83" s="155" t="s">
        <v>241</v>
      </c>
    </row>
    <row r="84" spans="1:10" ht="25.5" x14ac:dyDescent="0.2">
      <c r="C84" s="145" t="s">
        <v>198</v>
      </c>
      <c r="D84" s="191" t="s">
        <v>511</v>
      </c>
      <c r="G84" s="145" t="s">
        <v>201</v>
      </c>
      <c r="H84" s="161"/>
      <c r="I84" s="154" t="s">
        <v>45</v>
      </c>
    </row>
    <row r="85" spans="1:10" ht="15.75" x14ac:dyDescent="0.2">
      <c r="C85" s="145" t="s">
        <v>199</v>
      </c>
      <c r="D85" s="138">
        <f>IF(D84="Other",H84,VLOOKUP(D84,'Pick List Data'!A71:B71,2,0))</f>
        <v>55</v>
      </c>
      <c r="E85" s="154" t="s">
        <v>45</v>
      </c>
      <c r="G85" s="803" t="s">
        <v>527</v>
      </c>
      <c r="H85" s="803"/>
      <c r="I85" s="803"/>
    </row>
    <row r="86" spans="1:10" x14ac:dyDescent="0.2">
      <c r="G86" s="803"/>
      <c r="H86" s="803"/>
      <c r="I86" s="803"/>
    </row>
    <row r="87" spans="1:10" x14ac:dyDescent="0.2">
      <c r="B87" s="159" t="s">
        <v>214</v>
      </c>
    </row>
    <row r="88" spans="1:10" s="155" customFormat="1" x14ac:dyDescent="0.2">
      <c r="A88" s="154"/>
      <c r="B88" s="154"/>
      <c r="C88" s="154"/>
      <c r="D88" s="154"/>
      <c r="E88" s="154"/>
      <c r="F88" s="154"/>
      <c r="G88" s="154"/>
      <c r="H88" s="154"/>
      <c r="I88" s="154"/>
    </row>
    <row r="89" spans="1:10" x14ac:dyDescent="0.2">
      <c r="B89" s="155" t="s">
        <v>240</v>
      </c>
      <c r="J89" s="172"/>
    </row>
    <row r="90" spans="1:10" ht="12.75" customHeight="1" x14ac:dyDescent="0.2">
      <c r="C90" s="145" t="s">
        <v>245</v>
      </c>
      <c r="D90" s="134">
        <v>23.25</v>
      </c>
      <c r="E90" s="154" t="s">
        <v>243</v>
      </c>
      <c r="H90" s="802" t="s">
        <v>737</v>
      </c>
      <c r="I90" s="802"/>
      <c r="J90" s="171"/>
    </row>
    <row r="91" spans="1:10" ht="12.75" customHeight="1" x14ac:dyDescent="0.2">
      <c r="C91" s="145" t="s">
        <v>230</v>
      </c>
      <c r="D91" s="134">
        <v>2</v>
      </c>
      <c r="E91" s="154" t="s">
        <v>244</v>
      </c>
      <c r="H91" s="802"/>
      <c r="I91" s="802"/>
      <c r="J91" s="171"/>
    </row>
    <row r="92" spans="1:10" ht="12.75" customHeight="1" x14ac:dyDescent="0.2">
      <c r="H92" s="802"/>
      <c r="I92" s="802"/>
      <c r="J92" s="171"/>
    </row>
    <row r="93" spans="1:10" x14ac:dyDescent="0.2">
      <c r="B93" s="155" t="s">
        <v>241</v>
      </c>
      <c r="H93" s="802"/>
      <c r="I93" s="802"/>
      <c r="J93" s="169"/>
    </row>
    <row r="94" spans="1:10" x14ac:dyDescent="0.2">
      <c r="C94" s="154" t="s">
        <v>246</v>
      </c>
      <c r="D94" s="174">
        <f>VLOOKUP(IF($E$17=$W$30,CEILING($E$20,1000),CEILING(MAX($E$24:$E$26),1000)),'Pick List Data'!$A$118:$N$129,2,0)</f>
        <v>6</v>
      </c>
      <c r="E94" s="154" t="s">
        <v>247</v>
      </c>
      <c r="H94" s="802"/>
      <c r="I94" s="802"/>
      <c r="J94" s="169"/>
    </row>
    <row r="95" spans="1:10" x14ac:dyDescent="0.2">
      <c r="C95" s="145" t="s">
        <v>248</v>
      </c>
      <c r="D95" s="244">
        <f>VLOOKUP(IF($E$17=$W$30,CEILING($E$20,1000),CEILING(MAX($E$24:$E$26),1000)),'Pick List Data'!$A$118:$N$129,IF($D$60&lt;=24,3,IF(AND($D$60&lt;24,$D$60&lt;=30),7,11)),0)</f>
        <v>1.75</v>
      </c>
      <c r="E95" s="154" t="s">
        <v>249</v>
      </c>
      <c r="J95" s="171"/>
    </row>
    <row r="96" spans="1:10" x14ac:dyDescent="0.2">
      <c r="C96" s="145" t="s">
        <v>434</v>
      </c>
      <c r="D96" s="503">
        <f>VLOOKUP(IF($E$17=$W$30,CEILING($E$20,1000),CEILING(MAX($E$24:$E$26),1000)),'Pick List Data'!$A$118:$N$129,IF($D$60&lt;=24,4,IF(AND($D$60&lt;24,$D$60&lt;=30),8,12)),0)</f>
        <v>3.1875</v>
      </c>
      <c r="E96" s="154" t="s">
        <v>620</v>
      </c>
      <c r="J96" s="171"/>
    </row>
    <row r="97" spans="3:11" x14ac:dyDescent="0.2">
      <c r="C97" s="145" t="s">
        <v>250</v>
      </c>
      <c r="D97" s="244">
        <f>VLOOKUP(IF($E$17=$W$30,CEILING($E$20,1000),CEILING(MAX($E$24:$E$26),1000)),'Pick List Data'!$A$118:$N$129,IF($D$60&lt;=24,5,IF(AND($D$60&lt;24,$D$60&lt;=30),9,13)),0)</f>
        <v>18</v>
      </c>
      <c r="E97" s="154" t="s">
        <v>251</v>
      </c>
      <c r="J97" s="169"/>
    </row>
    <row r="98" spans="3:11" x14ac:dyDescent="0.2">
      <c r="J98" s="169"/>
    </row>
    <row r="99" spans="3:11" x14ac:dyDescent="0.2">
      <c r="J99" s="169"/>
    </row>
    <row r="100" spans="3:11" ht="12.75" customHeight="1" x14ac:dyDescent="0.2">
      <c r="J100" s="171"/>
    </row>
    <row r="101" spans="3:11" ht="12.75" customHeight="1" x14ac:dyDescent="0.2">
      <c r="J101" s="171"/>
    </row>
    <row r="102" spans="3:11" ht="12.75" customHeight="1" x14ac:dyDescent="0.2">
      <c r="J102" s="171"/>
    </row>
    <row r="105" spans="3:11" x14ac:dyDescent="0.2">
      <c r="J105" s="171"/>
      <c r="K105" s="171"/>
    </row>
    <row r="150" ht="15.75" customHeight="1" x14ac:dyDescent="0.2"/>
    <row r="154" ht="36.75" customHeight="1" x14ac:dyDescent="0.2"/>
    <row r="160" ht="12.75" customHeight="1" x14ac:dyDescent="0.2"/>
  </sheetData>
  <sheetProtection password="E7E8" sheet="1"/>
  <protectedRanges>
    <protectedRange sqref="B3:B6 D5:D6 D32:D33 E31:F31" name="Loading Input"/>
    <protectedRange sqref="D48 H48 D54:D57 D61:D64 D67:D69" name="Post Input"/>
    <protectedRange sqref="D79 H84 D84 H79:H80 D90:D91" name="Base Plate Input"/>
  </protectedRanges>
  <mergeCells count="21">
    <mergeCell ref="B29:B30"/>
    <mergeCell ref="H90:I94"/>
    <mergeCell ref="G85:I86"/>
    <mergeCell ref="G81:I82"/>
    <mergeCell ref="G73:I73"/>
    <mergeCell ref="G49:I50"/>
    <mergeCell ref="C29:C30"/>
    <mergeCell ref="A35:I35"/>
    <mergeCell ref="A40:E42"/>
    <mergeCell ref="F55:I57"/>
    <mergeCell ref="E60:I60"/>
    <mergeCell ref="D29:D30"/>
    <mergeCell ref="E29:E30"/>
    <mergeCell ref="F42:I42"/>
    <mergeCell ref="F29:F30"/>
    <mergeCell ref="B3:F3"/>
    <mergeCell ref="B4:F4"/>
    <mergeCell ref="A9:I9"/>
    <mergeCell ref="A10:I10"/>
    <mergeCell ref="D28:F28"/>
    <mergeCell ref="F20:I20"/>
  </mergeCells>
  <dataValidations count="8">
    <dataValidation type="list" allowBlank="1" showInputMessage="1" showErrorMessage="1" sqref="D54 D33" xr:uid="{00000000-0002-0000-0200-000000000000}">
      <formula1>$O$30:$O$31</formula1>
    </dataValidation>
    <dataValidation type="list" allowBlank="1" showInputMessage="1" showErrorMessage="1" sqref="D84" xr:uid="{00000000-0002-0000-0200-000001000000}">
      <formula1>$T$30:$T$31</formula1>
    </dataValidation>
    <dataValidation type="list" allowBlank="1" showInputMessage="1" showErrorMessage="1" sqref="D64" xr:uid="{00000000-0002-0000-0200-000002000000}">
      <formula1>$R$30:$R$35</formula1>
    </dataValidation>
    <dataValidation type="list" allowBlank="1" showInputMessage="1" showErrorMessage="1" sqref="D79" xr:uid="{00000000-0002-0000-0200-000003000000}">
      <formula1>$Q$30:$Q$34</formula1>
    </dataValidation>
    <dataValidation type="list" allowBlank="1" showInputMessage="1" showErrorMessage="1" sqref="E31" xr:uid="{00000000-0002-0000-0200-000004000000}">
      <formula1>$M$30:$M$46</formula1>
    </dataValidation>
    <dataValidation type="list" allowBlank="1" showInputMessage="1" showErrorMessage="1" sqref="D48" xr:uid="{00000000-0002-0000-0200-000005000000}">
      <formula1>$P$30:$P$40</formula1>
    </dataValidation>
    <dataValidation type="list" allowBlank="1" showInputMessage="1" showErrorMessage="1" sqref="D32" xr:uid="{00000000-0002-0000-0200-000006000000}">
      <formula1>$N$30:$N$43</formula1>
    </dataValidation>
    <dataValidation type="list" allowBlank="1" showInputMessage="1" showErrorMessage="1" sqref="E17:E18" xr:uid="{00000000-0002-0000-0200-000007000000}">
      <formula1>$W$30:$W$31</formula1>
    </dataValidation>
  </dataValidations>
  <pageMargins left="0.7" right="0.7" top="0.75" bottom="0.75" header="0.3" footer="0.3"/>
  <pageSetup scale="97" fitToHeight="0" orientation="portrait" r:id="rId1"/>
  <headerFooter>
    <oddFooter>&amp;L&amp;F&amp;C&amp;"Arial,Regular"Page &amp;P of &amp;N
&amp;R&amp;A</oddFooter>
  </headerFooter>
  <rowBreaks count="2" manualBreakCount="2">
    <brk id="27" max="8" man="1"/>
    <brk id="65" max="8" man="1"/>
  </rowBreaks>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57"/>
  <sheetViews>
    <sheetView view="pageBreakPreview" zoomScaleNormal="100" zoomScaleSheetLayoutView="100" workbookViewId="0">
      <selection activeCell="F49" sqref="F49"/>
    </sheetView>
  </sheetViews>
  <sheetFormatPr defaultRowHeight="12.75" x14ac:dyDescent="0.2"/>
  <cols>
    <col min="1" max="1" width="15" style="176" customWidth="1"/>
    <col min="2" max="2" width="11.6640625" style="176" customWidth="1"/>
    <col min="3" max="3" width="9.33203125" style="176"/>
    <col min="4" max="4" width="11.6640625" style="176" customWidth="1"/>
    <col min="5" max="5" width="11.5" style="176" customWidth="1"/>
    <col min="6" max="7" width="15.1640625" style="176" customWidth="1"/>
    <col min="8" max="8" width="12.6640625" style="176" customWidth="1"/>
    <col min="9" max="9" width="13.1640625" style="176" customWidth="1"/>
    <col min="10" max="12" width="9.33203125" style="176"/>
    <col min="13" max="13" width="11.1640625" style="176" customWidth="1"/>
    <col min="14" max="14" width="12.83203125" style="176" customWidth="1"/>
    <col min="15" max="15" width="9.33203125" style="176"/>
    <col min="16" max="16" width="19" style="176" customWidth="1"/>
    <col min="17" max="16384" width="9.33203125" style="176"/>
  </cols>
  <sheetData>
    <row r="1" spans="1:6" ht="18" x14ac:dyDescent="0.25">
      <c r="A1" s="517" t="s">
        <v>640</v>
      </c>
      <c r="B1" s="178"/>
      <c r="C1" s="177"/>
      <c r="D1" s="177"/>
      <c r="E1" s="177"/>
      <c r="F1" s="177"/>
    </row>
    <row r="2" spans="1:6" ht="18" x14ac:dyDescent="0.25">
      <c r="A2" s="178"/>
      <c r="B2" s="178"/>
      <c r="C2" s="177"/>
      <c r="D2" s="177"/>
      <c r="E2" s="177"/>
      <c r="F2" s="177"/>
    </row>
    <row r="3" spans="1:6" x14ac:dyDescent="0.2">
      <c r="A3" s="179" t="s">
        <v>161</v>
      </c>
      <c r="B3" s="870">
        <f>Input!B3</f>
        <v>12</v>
      </c>
      <c r="C3" s="871"/>
      <c r="D3" s="871"/>
      <c r="E3" s="871"/>
      <c r="F3" s="872"/>
    </row>
    <row r="4" spans="1:6" x14ac:dyDescent="0.2">
      <c r="A4" s="179" t="s">
        <v>162</v>
      </c>
      <c r="B4" s="870" t="str">
        <f>Input!B4</f>
        <v>SR XX &amp; SR XX</v>
      </c>
      <c r="C4" s="871"/>
      <c r="D4" s="871"/>
      <c r="E4" s="871"/>
      <c r="F4" s="872"/>
    </row>
    <row r="5" spans="1:6" x14ac:dyDescent="0.2">
      <c r="A5" s="180" t="s">
        <v>164</v>
      </c>
      <c r="B5" s="630" t="str">
        <f>Input!B5</f>
        <v>MEC</v>
      </c>
      <c r="C5" s="631" t="s">
        <v>166</v>
      </c>
      <c r="D5" s="632">
        <f>Input!D5</f>
        <v>40744</v>
      </c>
      <c r="E5" s="633"/>
      <c r="F5" s="633"/>
    </row>
    <row r="6" spans="1:6" x14ac:dyDescent="0.2">
      <c r="A6" s="180" t="s">
        <v>167</v>
      </c>
      <c r="B6" s="630" t="str">
        <f>Input!B6</f>
        <v>XXX</v>
      </c>
      <c r="C6" s="631" t="s">
        <v>166</v>
      </c>
      <c r="D6" s="632" t="str">
        <f>Input!D6</f>
        <v>XXX</v>
      </c>
      <c r="E6" s="633"/>
      <c r="F6" s="633"/>
    </row>
    <row r="8" spans="1:6" ht="15" x14ac:dyDescent="0.25">
      <c r="A8" s="166" t="s">
        <v>639</v>
      </c>
    </row>
    <row r="9" spans="1:6" ht="15.75" thickBot="1" x14ac:dyDescent="0.3">
      <c r="A9" s="166"/>
    </row>
    <row r="10" spans="1:6" ht="15.75" thickBot="1" x14ac:dyDescent="0.3">
      <c r="A10" s="166"/>
      <c r="B10" s="837" t="s">
        <v>664</v>
      </c>
      <c r="C10" s="838"/>
      <c r="D10" s="838"/>
      <c r="E10" s="838"/>
      <c r="F10" s="839"/>
    </row>
    <row r="11" spans="1:6" ht="26.25" thickBot="1" x14ac:dyDescent="0.3">
      <c r="A11" s="166"/>
      <c r="B11" s="831" t="s">
        <v>256</v>
      </c>
      <c r="C11" s="832"/>
      <c r="D11" s="181" t="s">
        <v>252</v>
      </c>
      <c r="E11" s="182" t="s">
        <v>253</v>
      </c>
      <c r="F11" s="183" t="s">
        <v>254</v>
      </c>
    </row>
    <row r="12" spans="1:6" ht="15" x14ac:dyDescent="0.25">
      <c r="A12" s="166"/>
      <c r="B12" s="840" t="s">
        <v>255</v>
      </c>
      <c r="C12" s="841"/>
      <c r="D12" s="234">
        <f>Post!J405</f>
        <v>614.08902983982989</v>
      </c>
      <c r="E12" s="234">
        <f>Post!J404</f>
        <v>42250</v>
      </c>
      <c r="F12" s="184" t="str">
        <f>IF(D12&lt;E12,"OK","NO GOOD")</f>
        <v>OK</v>
      </c>
    </row>
    <row r="13" spans="1:6" ht="15" x14ac:dyDescent="0.25">
      <c r="A13" s="166"/>
      <c r="B13" s="842" t="s">
        <v>741</v>
      </c>
      <c r="C13" s="843"/>
      <c r="D13" s="230">
        <f>Post!J415</f>
        <v>630.31788140705339</v>
      </c>
      <c r="E13" s="230">
        <f>Post!J414</f>
        <v>21450</v>
      </c>
      <c r="F13" s="357" t="str">
        <f>IF(D13&lt;E13,"OK","NO GOOD")</f>
        <v>OK</v>
      </c>
    </row>
    <row r="14" spans="1:6" ht="41.25" customHeight="1" thickBot="1" x14ac:dyDescent="0.3">
      <c r="A14" s="166"/>
      <c r="B14" s="856" t="s">
        <v>257</v>
      </c>
      <c r="C14" s="857"/>
      <c r="D14" s="231">
        <f>ROUND(MAX(Post!J442:J443),2)</f>
        <v>0.02</v>
      </c>
      <c r="E14" s="231">
        <f>1</f>
        <v>1</v>
      </c>
      <c r="F14" s="358" t="str">
        <f>IF(D14&lt;=E14,"OK","NO GOOD")</f>
        <v>OK</v>
      </c>
    </row>
    <row r="15" spans="1:6" ht="15.75" thickBot="1" x14ac:dyDescent="0.3">
      <c r="A15" s="166"/>
    </row>
    <row r="16" spans="1:6" ht="15.75" thickBot="1" x14ac:dyDescent="0.3">
      <c r="A16" s="166"/>
      <c r="B16" s="837" t="s">
        <v>665</v>
      </c>
      <c r="C16" s="838"/>
      <c r="D16" s="838"/>
      <c r="E16" s="838"/>
      <c r="F16" s="839"/>
    </row>
    <row r="17" spans="1:6" ht="26.25" thickBot="1" x14ac:dyDescent="0.3">
      <c r="A17" s="166"/>
      <c r="B17" s="831" t="s">
        <v>256</v>
      </c>
      <c r="C17" s="832"/>
      <c r="D17" s="181" t="s">
        <v>252</v>
      </c>
      <c r="E17" s="182" t="s">
        <v>253</v>
      </c>
      <c r="F17" s="183" t="s">
        <v>254</v>
      </c>
    </row>
    <row r="18" spans="1:6" ht="15" customHeight="1" x14ac:dyDescent="0.25">
      <c r="A18" s="166"/>
      <c r="B18" s="840" t="s">
        <v>255</v>
      </c>
      <c r="C18" s="841"/>
      <c r="D18" s="234">
        <f>Post!I405</f>
        <v>26652.473326085896</v>
      </c>
      <c r="E18" s="234">
        <f>Post!I404</f>
        <v>42250</v>
      </c>
      <c r="F18" s="184" t="str">
        <f>IF(D18&lt;E18,"OK","NO GOOD")</f>
        <v>OK</v>
      </c>
    </row>
    <row r="19" spans="1:6" ht="15" x14ac:dyDescent="0.25">
      <c r="A19" s="166"/>
      <c r="B19" s="842" t="s">
        <v>741</v>
      </c>
      <c r="C19" s="843"/>
      <c r="D19" s="230">
        <f>Post!I415</f>
        <v>461.87902698217152</v>
      </c>
      <c r="E19" s="230">
        <f>Post!I414</f>
        <v>21450</v>
      </c>
      <c r="F19" s="357" t="str">
        <f>IF(D19&lt;E19,"OK","NO GOOD")</f>
        <v>OK</v>
      </c>
    </row>
    <row r="20" spans="1:6" ht="41.25" customHeight="1" thickBot="1" x14ac:dyDescent="0.3">
      <c r="A20" s="166"/>
      <c r="B20" s="856" t="s">
        <v>257</v>
      </c>
      <c r="C20" s="857"/>
      <c r="D20" s="231">
        <f>ROUND(MAX(Post!I442:I443),2)</f>
        <v>0.63</v>
      </c>
      <c r="E20" s="231">
        <v>1</v>
      </c>
      <c r="F20" s="358" t="str">
        <f>IF(D20&lt;=E20,"OK","NO GOOD")</f>
        <v>OK</v>
      </c>
    </row>
    <row r="21" spans="1:6" ht="15.75" thickBot="1" x14ac:dyDescent="0.3">
      <c r="A21" s="166"/>
    </row>
    <row r="22" spans="1:6" ht="15.75" thickBot="1" x14ac:dyDescent="0.3">
      <c r="A22" s="166"/>
      <c r="B22" s="837" t="s">
        <v>259</v>
      </c>
      <c r="C22" s="838"/>
      <c r="D22" s="838"/>
      <c r="E22" s="838"/>
      <c r="F22" s="839"/>
    </row>
    <row r="23" spans="1:6" ht="26.25" thickBot="1" x14ac:dyDescent="0.25">
      <c r="B23" s="831" t="s">
        <v>256</v>
      </c>
      <c r="C23" s="832"/>
      <c r="D23" s="181" t="s">
        <v>252</v>
      </c>
      <c r="E23" s="182" t="s">
        <v>253</v>
      </c>
      <c r="F23" s="183" t="s">
        <v>254</v>
      </c>
    </row>
    <row r="24" spans="1:6" x14ac:dyDescent="0.2">
      <c r="B24" s="827" t="s">
        <v>255</v>
      </c>
      <c r="C24" s="828"/>
      <c r="D24" s="234">
        <f>Post!H405</f>
        <v>27543.024753091217</v>
      </c>
      <c r="E24" s="234">
        <f>Post!H404</f>
        <v>42250</v>
      </c>
      <c r="F24" s="184" t="str">
        <f>IF(D24&lt;E24,"OK","NO GOOD")</f>
        <v>OK</v>
      </c>
    </row>
    <row r="25" spans="1:6" ht="12.75" customHeight="1" x14ac:dyDescent="0.2">
      <c r="B25" s="869" t="s">
        <v>741</v>
      </c>
      <c r="C25" s="830"/>
      <c r="D25" s="230">
        <f>Post!H415</f>
        <v>233.20609403711299</v>
      </c>
      <c r="E25" s="230">
        <f>Post!H414</f>
        <v>21450</v>
      </c>
      <c r="F25" s="357" t="str">
        <f>IF(D25&lt;E25,"OK","NO GOOD")</f>
        <v>OK</v>
      </c>
    </row>
    <row r="26" spans="1:6" ht="42" customHeight="1" thickBot="1" x14ac:dyDescent="0.25">
      <c r="B26" s="851" t="s">
        <v>257</v>
      </c>
      <c r="C26" s="834"/>
      <c r="D26" s="231">
        <f>ROUND(MAX(Post!H442:H443),2)</f>
        <v>0.66</v>
      </c>
      <c r="E26" s="231">
        <v>1</v>
      </c>
      <c r="F26" s="358" t="str">
        <f>IF(D26&lt;=E26,"OK","NO GOOD")</f>
        <v>OK</v>
      </c>
    </row>
    <row r="27" spans="1:6" ht="13.5" thickBot="1" x14ac:dyDescent="0.25"/>
    <row r="28" spans="1:6" ht="13.5" thickBot="1" x14ac:dyDescent="0.25">
      <c r="B28" s="837" t="s">
        <v>410</v>
      </c>
      <c r="C28" s="838"/>
      <c r="D28" s="838"/>
      <c r="E28" s="838"/>
      <c r="F28" s="839"/>
    </row>
    <row r="29" spans="1:6" ht="26.25" thickBot="1" x14ac:dyDescent="0.25">
      <c r="B29" s="831" t="s">
        <v>256</v>
      </c>
      <c r="C29" s="832"/>
      <c r="D29" s="181" t="s">
        <v>252</v>
      </c>
      <c r="E29" s="182" t="s">
        <v>253</v>
      </c>
      <c r="F29" s="183" t="s">
        <v>254</v>
      </c>
    </row>
    <row r="30" spans="1:6" x14ac:dyDescent="0.2">
      <c r="B30" s="835" t="s">
        <v>258</v>
      </c>
      <c r="C30" s="836"/>
      <c r="D30" s="234">
        <f>Post!C427</f>
        <v>182.60997600191865</v>
      </c>
      <c r="E30" s="234">
        <f>Post!C426</f>
        <v>1223.15769853758</v>
      </c>
      <c r="F30" s="184" t="str">
        <f>IF(D30&lt;E30,"OK","NO GOOD")</f>
        <v>OK</v>
      </c>
    </row>
    <row r="31" spans="1:6" x14ac:dyDescent="0.2">
      <c r="B31" s="869" t="s">
        <v>255</v>
      </c>
      <c r="C31" s="830"/>
      <c r="D31" s="230">
        <f>Post!G405</f>
        <v>29235.105010394655</v>
      </c>
      <c r="E31" s="230">
        <f>Post!G404</f>
        <v>42250</v>
      </c>
      <c r="F31" s="357" t="str">
        <f>IF(D31&lt;E31,"OK","NO GOOD")</f>
        <v>OK</v>
      </c>
    </row>
    <row r="32" spans="1:6" x14ac:dyDescent="0.2">
      <c r="B32" s="869" t="s">
        <v>741</v>
      </c>
      <c r="C32" s="830"/>
      <c r="D32" s="230">
        <f>Post!G415</f>
        <v>380.21987035698885</v>
      </c>
      <c r="E32" s="230">
        <f>Post!G414</f>
        <v>21450</v>
      </c>
      <c r="F32" s="357" t="str">
        <f>IF(D32&lt;E32,"OK","NO GOOD")</f>
        <v>OK</v>
      </c>
    </row>
    <row r="33" spans="1:8" ht="39.75" customHeight="1" thickBot="1" x14ac:dyDescent="0.25">
      <c r="B33" s="851" t="s">
        <v>257</v>
      </c>
      <c r="C33" s="834"/>
      <c r="D33" s="231">
        <f>ROUND(MAX(Post!G442:G443),2)</f>
        <v>0.7</v>
      </c>
      <c r="E33" s="231">
        <v>1</v>
      </c>
      <c r="F33" s="358" t="str">
        <f>IF(D33&lt;=E33,"OK","NO GOOD")</f>
        <v>OK</v>
      </c>
    </row>
    <row r="34" spans="1:8" ht="13.5" thickBot="1" x14ac:dyDescent="0.25"/>
    <row r="35" spans="1:8" ht="13.5" thickBot="1" x14ac:dyDescent="0.25">
      <c r="B35" s="837" t="s">
        <v>409</v>
      </c>
      <c r="C35" s="838"/>
      <c r="D35" s="838"/>
      <c r="E35" s="838"/>
      <c r="F35" s="839"/>
    </row>
    <row r="36" spans="1:8" ht="26.25" thickBot="1" x14ac:dyDescent="0.25">
      <c r="B36" s="831" t="s">
        <v>256</v>
      </c>
      <c r="C36" s="832"/>
      <c r="D36" s="181" t="s">
        <v>252</v>
      </c>
      <c r="E36" s="182" t="s">
        <v>253</v>
      </c>
      <c r="F36" s="183" t="s">
        <v>254</v>
      </c>
    </row>
    <row r="37" spans="1:8" s="474" customFormat="1" ht="27.75" customHeight="1" x14ac:dyDescent="0.2">
      <c r="B37" s="840" t="s">
        <v>666</v>
      </c>
      <c r="C37" s="841"/>
      <c r="D37" s="475">
        <f>Post!H451</f>
        <v>8.036914446830334</v>
      </c>
      <c r="E37" s="475">
        <f>Post!H452</f>
        <v>6.9</v>
      </c>
      <c r="F37" s="184" t="str">
        <f>IF(D37&lt;=E37,"OK","NO GOOD")</f>
        <v>NO GOOD</v>
      </c>
    </row>
    <row r="38" spans="1:8" ht="27" customHeight="1" thickBot="1" x14ac:dyDescent="0.25">
      <c r="B38" s="833" t="s">
        <v>411</v>
      </c>
      <c r="C38" s="834"/>
      <c r="D38" s="231" t="str">
        <f>Post!I462</f>
        <v>NA</v>
      </c>
      <c r="E38" s="358">
        <f>Post!I463</f>
        <v>43.199999999999996</v>
      </c>
      <c r="F38" s="358" t="str">
        <f>IF(Input!D54="No","N/A",IF(D38&lt;E38,"OK","NO GOOD"))</f>
        <v>N/A</v>
      </c>
    </row>
    <row r="39" spans="1:8" ht="13.5" thickBot="1" x14ac:dyDescent="0.25">
      <c r="B39" s="476"/>
      <c r="C39" s="201"/>
      <c r="D39" s="477"/>
      <c r="E39" s="200"/>
      <c r="F39" s="200"/>
    </row>
    <row r="40" spans="1:8" ht="13.5" thickBot="1" x14ac:dyDescent="0.25">
      <c r="B40" s="860" t="s">
        <v>313</v>
      </c>
      <c r="C40" s="861"/>
      <c r="D40" s="861"/>
      <c r="E40" s="861"/>
      <c r="F40" s="862"/>
    </row>
    <row r="41" spans="1:8" ht="52.5" customHeight="1" x14ac:dyDescent="0.2">
      <c r="B41" s="840" t="s">
        <v>528</v>
      </c>
      <c r="C41" s="841"/>
      <c r="D41" s="866" t="str">
        <f>Post!E476</f>
        <v>OK</v>
      </c>
      <c r="E41" s="867"/>
      <c r="F41" s="868"/>
    </row>
    <row r="42" spans="1:8" ht="43.5" customHeight="1" x14ac:dyDescent="0.2">
      <c r="B42" s="842" t="s">
        <v>529</v>
      </c>
      <c r="C42" s="843"/>
      <c r="D42" s="844" t="str">
        <f>Post!E477</f>
        <v>OK</v>
      </c>
      <c r="E42" s="845"/>
      <c r="F42" s="846"/>
    </row>
    <row r="43" spans="1:8" ht="40.5" customHeight="1" thickBot="1" x14ac:dyDescent="0.25">
      <c r="B43" s="821" t="s">
        <v>6</v>
      </c>
      <c r="C43" s="822"/>
      <c r="D43" s="863" t="str">
        <f>Post!E478</f>
        <v>OK</v>
      </c>
      <c r="E43" s="864"/>
      <c r="F43" s="865"/>
    </row>
    <row r="44" spans="1:8" x14ac:dyDescent="0.2">
      <c r="B44" s="476"/>
      <c r="C44" s="201"/>
      <c r="D44" s="477"/>
      <c r="E44" s="200"/>
      <c r="F44" s="200"/>
    </row>
    <row r="45" spans="1:8" ht="15" x14ac:dyDescent="0.25">
      <c r="A45" s="166" t="s">
        <v>240</v>
      </c>
    </row>
    <row r="46" spans="1:8" ht="13.5" thickBot="1" x14ac:dyDescent="0.25"/>
    <row r="47" spans="1:8" ht="13.5" thickBot="1" x14ac:dyDescent="0.25">
      <c r="B47" s="837" t="s">
        <v>260</v>
      </c>
      <c r="C47" s="838"/>
      <c r="D47" s="838"/>
      <c r="E47" s="838"/>
      <c r="F47" s="838"/>
      <c r="G47" s="838"/>
      <c r="H47" s="839"/>
    </row>
    <row r="48" spans="1:8" ht="26.25" thickBot="1" x14ac:dyDescent="0.25">
      <c r="B48" s="831" t="s">
        <v>256</v>
      </c>
      <c r="C48" s="832"/>
      <c r="D48" s="181" t="s">
        <v>252</v>
      </c>
      <c r="E48" s="182" t="s">
        <v>253</v>
      </c>
      <c r="F48" s="591" t="s">
        <v>254</v>
      </c>
      <c r="G48" s="852" t="s">
        <v>445</v>
      </c>
      <c r="H48" s="853"/>
    </row>
    <row r="49" spans="2:8" ht="39.75" customHeight="1" x14ac:dyDescent="0.2">
      <c r="B49" s="827" t="s">
        <v>440</v>
      </c>
      <c r="C49" s="828"/>
      <c r="D49" s="234">
        <f>'Base Plate'!F20</f>
        <v>2</v>
      </c>
      <c r="E49" s="234">
        <f>'Base Plate'!F21</f>
        <v>2</v>
      </c>
      <c r="F49" s="592" t="str">
        <f>IF(D49&gt;=E49,"OK","NO GOOD")</f>
        <v>OK</v>
      </c>
      <c r="G49" s="854" t="s">
        <v>548</v>
      </c>
      <c r="H49" s="855"/>
    </row>
    <row r="50" spans="2:8" ht="27.75" customHeight="1" x14ac:dyDescent="0.2">
      <c r="B50" s="829" t="s">
        <v>441</v>
      </c>
      <c r="C50" s="830"/>
      <c r="D50" s="230">
        <f>'Base Plate'!F41</f>
        <v>4578.761036109343</v>
      </c>
      <c r="E50" s="230">
        <f>'Base Plate'!F44</f>
        <v>27500</v>
      </c>
      <c r="F50" s="593" t="str">
        <f>IF(D50&lt;=E50,"OK","NO GOOD")</f>
        <v>OK</v>
      </c>
      <c r="G50" s="825" t="s">
        <v>160</v>
      </c>
      <c r="H50" s="826"/>
    </row>
    <row r="51" spans="2:8" ht="27" customHeight="1" x14ac:dyDescent="0.2">
      <c r="B51" s="829" t="s">
        <v>442</v>
      </c>
      <c r="C51" s="830"/>
      <c r="D51" s="230">
        <f>'Base Plate'!F49</f>
        <v>82.761941328543415</v>
      </c>
      <c r="E51" s="230">
        <f>'Base Plate'!F50</f>
        <v>16500</v>
      </c>
      <c r="F51" s="593" t="str">
        <f>IF(D51&lt;=E51,"OK","NO GOOD")</f>
        <v>OK</v>
      </c>
      <c r="G51" s="825" t="s">
        <v>160</v>
      </c>
      <c r="H51" s="826"/>
    </row>
    <row r="52" spans="2:8" ht="40.5" customHeight="1" x14ac:dyDescent="0.2">
      <c r="B52" s="829" t="s">
        <v>726</v>
      </c>
      <c r="C52" s="830"/>
      <c r="D52" s="230">
        <f>ROUND('Base Plate'!F60,2)</f>
        <v>0.03</v>
      </c>
      <c r="E52" s="230">
        <v>1</v>
      </c>
      <c r="F52" s="593" t="str">
        <f>IF(D52&lt;=E52,"OK","NO GOOD")</f>
        <v>OK</v>
      </c>
      <c r="G52" s="825" t="s">
        <v>160</v>
      </c>
      <c r="H52" s="826"/>
    </row>
    <row r="53" spans="2:8" ht="28.5" customHeight="1" thickBot="1" x14ac:dyDescent="0.25">
      <c r="B53" s="858" t="s">
        <v>742</v>
      </c>
      <c r="C53" s="859"/>
      <c r="D53" s="587">
        <f>'Base Plate'!F68</f>
        <v>11540.445943387354</v>
      </c>
      <c r="E53" s="587">
        <f>'Base Plate'!F69</f>
        <v>37500</v>
      </c>
      <c r="F53" s="594" t="str">
        <f>IF(D53&lt;=E53,"OK","NO GOOD")</f>
        <v>OK</v>
      </c>
      <c r="G53" s="823" t="s">
        <v>160</v>
      </c>
      <c r="H53" s="824"/>
    </row>
    <row r="54" spans="2:8" ht="26.25" thickBot="1" x14ac:dyDescent="0.25">
      <c r="B54" s="827" t="s">
        <v>435</v>
      </c>
      <c r="C54" s="828"/>
      <c r="D54" s="589" t="s">
        <v>252</v>
      </c>
      <c r="E54" s="589" t="s">
        <v>525</v>
      </c>
      <c r="F54" s="595" t="s">
        <v>256</v>
      </c>
      <c r="G54" s="847" t="s">
        <v>549</v>
      </c>
      <c r="H54" s="848"/>
    </row>
    <row r="55" spans="2:8" ht="70.5" customHeight="1" thickBot="1" x14ac:dyDescent="0.25">
      <c r="B55" s="851"/>
      <c r="C55" s="834"/>
      <c r="D55" s="588">
        <f>'Base Plate'!F77</f>
        <v>4</v>
      </c>
      <c r="E55" s="588">
        <f>'Base Plate'!F78</f>
        <v>2</v>
      </c>
      <c r="F55" s="596" t="str">
        <f>IF(D55&gt;=E55,"Clearance &gt; Bolt Dia + 1/4""","Clearance &lt; Bolt Dia + 1/4''.  Confirm adequate clearance.")</f>
        <v>Clearance &gt; Bolt Dia + 1/4"</v>
      </c>
      <c r="G55" s="849"/>
      <c r="H55" s="850"/>
    </row>
    <row r="56" spans="2:8" ht="13.5" thickBot="1" x14ac:dyDescent="0.25">
      <c r="B56" s="827" t="s">
        <v>546</v>
      </c>
      <c r="C56" s="828"/>
      <c r="D56" s="589" t="s">
        <v>252</v>
      </c>
      <c r="E56" s="589" t="s">
        <v>547</v>
      </c>
      <c r="F56" s="595" t="s">
        <v>256</v>
      </c>
      <c r="G56" s="847" t="s">
        <v>743</v>
      </c>
      <c r="H56" s="848"/>
    </row>
    <row r="57" spans="2:8" ht="90.75" customHeight="1" thickBot="1" x14ac:dyDescent="0.25">
      <c r="B57" s="851"/>
      <c r="C57" s="834"/>
      <c r="D57" s="588">
        <f>'Base Plate'!F93</f>
        <v>2.625</v>
      </c>
      <c r="E57" s="588">
        <f>'Base Plate'!F92</f>
        <v>2</v>
      </c>
      <c r="F57" s="596" t="str">
        <f>IF(D57&gt;=E57,"Edge Distance &gt; Greater of Le or washer dia ÷ 2 +1/4""","Edge Distance &lt; Greater of Le or washer dia ÷ 2 +1/4''.  Confirm adequate edge distance.")</f>
        <v>Edge Distance &gt; Greater of Le or washer dia ÷ 2 +1/4"</v>
      </c>
      <c r="G57" s="849"/>
      <c r="H57" s="850"/>
    </row>
  </sheetData>
  <sheetProtection password="F828" sheet="1"/>
  <mergeCells count="51">
    <mergeCell ref="B3:F3"/>
    <mergeCell ref="B4:F4"/>
    <mergeCell ref="B10:F10"/>
    <mergeCell ref="B13:C13"/>
    <mergeCell ref="B16:F16"/>
    <mergeCell ref="B12:C12"/>
    <mergeCell ref="B11:C11"/>
    <mergeCell ref="B51:C51"/>
    <mergeCell ref="B18:C18"/>
    <mergeCell ref="B19:C19"/>
    <mergeCell ref="B28:F28"/>
    <mergeCell ref="B22:F22"/>
    <mergeCell ref="B23:C23"/>
    <mergeCell ref="B29:C29"/>
    <mergeCell ref="B32:C32"/>
    <mergeCell ref="B33:C33"/>
    <mergeCell ref="B31:C31"/>
    <mergeCell ref="B20:C20"/>
    <mergeCell ref="B24:C24"/>
    <mergeCell ref="B25:C25"/>
    <mergeCell ref="B17:C17"/>
    <mergeCell ref="B26:C26"/>
    <mergeCell ref="B41:C41"/>
    <mergeCell ref="B14:C14"/>
    <mergeCell ref="B53:C53"/>
    <mergeCell ref="B48:C48"/>
    <mergeCell ref="B50:C50"/>
    <mergeCell ref="B40:F40"/>
    <mergeCell ref="D43:F43"/>
    <mergeCell ref="D41:F41"/>
    <mergeCell ref="B42:C42"/>
    <mergeCell ref="D42:F42"/>
    <mergeCell ref="G56:H57"/>
    <mergeCell ref="B56:C57"/>
    <mergeCell ref="G48:H48"/>
    <mergeCell ref="B47:H47"/>
    <mergeCell ref="G49:H49"/>
    <mergeCell ref="G50:H50"/>
    <mergeCell ref="G54:H55"/>
    <mergeCell ref="B54:C55"/>
    <mergeCell ref="B36:C36"/>
    <mergeCell ref="B38:C38"/>
    <mergeCell ref="B30:C30"/>
    <mergeCell ref="B35:F35"/>
    <mergeCell ref="B37:C37"/>
    <mergeCell ref="B43:C43"/>
    <mergeCell ref="G53:H53"/>
    <mergeCell ref="G51:H51"/>
    <mergeCell ref="G52:H52"/>
    <mergeCell ref="B49:C49"/>
    <mergeCell ref="B52:C52"/>
  </mergeCells>
  <pageMargins left="0.7" right="0.7" top="0.75" bottom="0.75" header="0.3" footer="0.3"/>
  <pageSetup scale="99" fitToHeight="0" orientation="portrait" r:id="rId1"/>
  <headerFooter>
    <oddFooter>&amp;L     &amp;F&amp;C&amp;"Arial,Regular"Page &amp;P of &amp;N
&amp;R&amp;A</oddFooter>
  </headerFooter>
  <rowBreaks count="2" manualBreakCount="2">
    <brk id="27" max="7" man="1"/>
    <brk id="44" max="7"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R489"/>
  <sheetViews>
    <sheetView view="pageBreakPreview" zoomScaleNormal="100" zoomScaleSheetLayoutView="100" workbookViewId="0">
      <selection activeCell="G43" sqref="G43"/>
    </sheetView>
  </sheetViews>
  <sheetFormatPr defaultRowHeight="12.75" x14ac:dyDescent="0.2"/>
  <cols>
    <col min="1" max="1" width="15.83203125" style="1" customWidth="1"/>
    <col min="2" max="2" width="14.1640625" style="1" customWidth="1"/>
    <col min="3" max="3" width="11.6640625" style="1" customWidth="1"/>
    <col min="4" max="4" width="12.33203125" style="1" customWidth="1"/>
    <col min="5" max="5" width="10.83203125" style="1" customWidth="1"/>
    <col min="6" max="6" width="11.5" style="1" customWidth="1"/>
    <col min="7" max="7" width="11.6640625" style="1" customWidth="1"/>
    <col min="8" max="9" width="11.83203125" style="1" customWidth="1"/>
    <col min="10" max="10" width="11.6640625" style="1" customWidth="1"/>
    <col min="11" max="11" width="11.83203125" style="1" customWidth="1"/>
    <col min="12" max="12" width="3.83203125" style="1" customWidth="1"/>
    <col min="13" max="13" width="9.33203125" style="1"/>
    <col min="14" max="14" width="10.5" style="1" customWidth="1"/>
    <col min="15" max="15" width="21.83203125" style="1" customWidth="1"/>
    <col min="16" max="16" width="18" style="1" customWidth="1"/>
    <col min="17" max="18" width="13.6640625" style="1" bestFit="1" customWidth="1"/>
    <col min="19" max="19" width="13.33203125" style="1" customWidth="1"/>
    <col min="20" max="20" width="10.6640625" style="1" bestFit="1" customWidth="1"/>
    <col min="21" max="16384" width="9.33203125" style="1"/>
  </cols>
  <sheetData>
    <row r="1" spans="1:17" x14ac:dyDescent="0.2">
      <c r="B1" s="535" t="s">
        <v>161</v>
      </c>
      <c r="C1" s="536">
        <f>Input!B3</f>
        <v>12</v>
      </c>
    </row>
    <row r="2" spans="1:17" x14ac:dyDescent="0.2">
      <c r="B2" s="535" t="s">
        <v>162</v>
      </c>
      <c r="C2" s="536" t="str">
        <f>Input!B4</f>
        <v>SR XX &amp; SR XX</v>
      </c>
    </row>
    <row r="4" spans="1:17" ht="18" x14ac:dyDescent="0.2">
      <c r="A4" s="516" t="s">
        <v>658</v>
      </c>
      <c r="M4" s="7"/>
      <c r="N4" s="7"/>
      <c r="O4" s="7"/>
      <c r="P4" s="7"/>
      <c r="Q4" s="7"/>
    </row>
    <row r="5" spans="1:17" ht="12.75" customHeight="1" x14ac:dyDescent="0.2">
      <c r="A5" s="468"/>
      <c r="M5" s="7"/>
      <c r="N5" s="7"/>
      <c r="O5" s="7"/>
      <c r="P5" s="7"/>
      <c r="Q5" s="7"/>
    </row>
    <row r="6" spans="1:17" ht="15.75" x14ac:dyDescent="0.2">
      <c r="A6" s="325" t="s">
        <v>659</v>
      </c>
      <c r="M6" s="419"/>
      <c r="N6" s="419"/>
      <c r="O6" s="419"/>
      <c r="P6" s="419"/>
      <c r="Q6" s="7"/>
    </row>
    <row r="7" spans="1:17" ht="12.75" customHeight="1" x14ac:dyDescent="0.2">
      <c r="A7" s="89"/>
      <c r="B7" s="7"/>
      <c r="C7" s="7"/>
      <c r="D7" s="7"/>
      <c r="E7" s="7"/>
      <c r="F7" s="7"/>
      <c r="G7" s="7"/>
      <c r="H7" s="7"/>
      <c r="I7" s="7"/>
      <c r="J7" s="7"/>
      <c r="K7" s="7"/>
      <c r="L7" s="7"/>
      <c r="M7" s="242"/>
      <c r="N7" s="242"/>
      <c r="O7" s="242"/>
      <c r="P7" s="242"/>
      <c r="Q7" s="7"/>
    </row>
    <row r="8" spans="1:17" ht="13.5" customHeight="1" x14ac:dyDescent="0.2">
      <c r="A8" s="30" t="s">
        <v>198</v>
      </c>
      <c r="B8" s="880" t="str">
        <f>Input!D48</f>
        <v>Other</v>
      </c>
      <c r="C8" s="881"/>
      <c r="D8" s="882"/>
      <c r="E8" s="6"/>
      <c r="I8" s="20"/>
      <c r="J8" s="20"/>
      <c r="M8" s="242"/>
      <c r="N8" s="242"/>
      <c r="O8" s="242"/>
      <c r="P8" s="242"/>
      <c r="Q8" s="7"/>
    </row>
    <row r="9" spans="1:17" ht="15.75" x14ac:dyDescent="0.3">
      <c r="A9" s="454">
        <f>Input!D49*1000</f>
        <v>65000</v>
      </c>
      <c r="B9" s="11" t="s">
        <v>744</v>
      </c>
      <c r="C9" s="4"/>
      <c r="M9" s="242"/>
      <c r="N9" s="242"/>
      <c r="O9" s="242"/>
      <c r="P9" s="242"/>
      <c r="Q9" s="7"/>
    </row>
    <row r="10" spans="1:17" ht="13.5" customHeight="1" x14ac:dyDescent="0.2">
      <c r="A10" s="672" t="str">
        <f>IF(Input!D54="Yes","Y","N")</f>
        <v>N</v>
      </c>
      <c r="B10" s="11" t="s">
        <v>405</v>
      </c>
      <c r="C10" s="11"/>
      <c r="D10" s="11"/>
      <c r="I10" s="13"/>
      <c r="J10" s="13"/>
      <c r="M10" s="756"/>
      <c r="N10" s="7"/>
      <c r="O10" s="7"/>
      <c r="P10" s="7"/>
      <c r="Q10" s="7"/>
    </row>
    <row r="11" spans="1:17" ht="13.5" customHeight="1" x14ac:dyDescent="0.2">
      <c r="A11" s="43">
        <f>Input!D59</f>
        <v>23</v>
      </c>
      <c r="B11" s="11" t="s">
        <v>621</v>
      </c>
      <c r="E11" s="673"/>
      <c r="F11" s="11"/>
      <c r="I11" s="13"/>
      <c r="J11" s="13"/>
      <c r="M11" s="242"/>
      <c r="N11" s="3"/>
      <c r="O11" s="7"/>
      <c r="P11" s="7"/>
      <c r="Q11" s="7"/>
    </row>
    <row r="12" spans="1:17" ht="13.5" customHeight="1" x14ac:dyDescent="0.2">
      <c r="A12" s="49">
        <f>Input!D91</f>
        <v>2</v>
      </c>
      <c r="B12" s="11" t="s">
        <v>456</v>
      </c>
      <c r="D12" s="11"/>
      <c r="E12" s="423"/>
      <c r="F12" s="10"/>
      <c r="M12" s="242"/>
      <c r="N12" s="3"/>
      <c r="O12" s="7"/>
      <c r="P12" s="7"/>
      <c r="Q12" s="7"/>
    </row>
    <row r="13" spans="1:17" ht="13.5" customHeight="1" x14ac:dyDescent="0.2">
      <c r="A13" s="42">
        <v>3</v>
      </c>
      <c r="B13" s="10" t="s">
        <v>403</v>
      </c>
      <c r="C13" s="13"/>
      <c r="D13" s="11"/>
      <c r="M13" s="712"/>
      <c r="N13" s="3"/>
      <c r="O13" s="7"/>
      <c r="P13" s="7"/>
      <c r="Q13" s="7"/>
    </row>
    <row r="14" spans="1:17" ht="12.75" customHeight="1" x14ac:dyDescent="0.2">
      <c r="A14" s="44">
        <v>80</v>
      </c>
      <c r="B14" s="11" t="s">
        <v>404</v>
      </c>
      <c r="C14" s="13"/>
      <c r="D14" s="11"/>
      <c r="F14" s="10"/>
      <c r="H14" s="20"/>
      <c r="I14" s="20"/>
      <c r="J14" s="20"/>
      <c r="K14" s="20"/>
    </row>
    <row r="15" spans="1:17" x14ac:dyDescent="0.2">
      <c r="A15" s="11"/>
      <c r="B15" s="11"/>
      <c r="C15" s="13"/>
      <c r="D15" s="11"/>
      <c r="E15" s="10"/>
      <c r="F15" s="10"/>
      <c r="H15" s="10"/>
      <c r="I15" s="10"/>
      <c r="J15" s="10"/>
      <c r="K15" s="10"/>
    </row>
    <row r="16" spans="1:17" x14ac:dyDescent="0.2">
      <c r="A16" s="63" t="s">
        <v>660</v>
      </c>
      <c r="B16" s="15"/>
      <c r="C16" s="16"/>
      <c r="D16" s="16"/>
      <c r="E16" s="10"/>
      <c r="F16" s="10"/>
      <c r="G16" s="10"/>
      <c r="H16" s="10"/>
      <c r="I16" s="10"/>
      <c r="J16" s="10"/>
    </row>
    <row r="17" spans="1:17" ht="13.5" thickBot="1" x14ac:dyDescent="0.25">
      <c r="A17" s="10"/>
      <c r="B17" s="10"/>
      <c r="C17" s="16"/>
      <c r="D17" s="16"/>
      <c r="E17" s="10"/>
      <c r="F17" s="10"/>
      <c r="G17" s="3"/>
      <c r="H17" s="37"/>
      <c r="I17" s="242"/>
      <c r="J17" s="3"/>
      <c r="K17" s="3"/>
    </row>
    <row r="18" spans="1:17" ht="39" thickBot="1" x14ac:dyDescent="0.25">
      <c r="A18" s="27" t="s">
        <v>314</v>
      </c>
      <c r="B18" s="421" t="str">
        <f>Input!D64</f>
        <v>12-sided</v>
      </c>
      <c r="C18" s="16"/>
      <c r="D18" s="10"/>
      <c r="E18" s="543" t="s">
        <v>349</v>
      </c>
      <c r="F18" s="459" t="s">
        <v>101</v>
      </c>
      <c r="G18" s="459" t="s">
        <v>652</v>
      </c>
      <c r="H18" s="459" t="s">
        <v>625</v>
      </c>
      <c r="I18" s="459" t="s">
        <v>702</v>
      </c>
      <c r="J18" s="463" t="s">
        <v>331</v>
      </c>
    </row>
    <row r="19" spans="1:17" x14ac:dyDescent="0.2">
      <c r="A19" s="10"/>
      <c r="B19" s="16"/>
      <c r="C19" s="16"/>
      <c r="D19" s="10"/>
      <c r="E19" s="510" t="s">
        <v>46</v>
      </c>
      <c r="F19" s="544" t="s">
        <v>47</v>
      </c>
      <c r="G19" s="544" t="str">
        <f>A11/2&amp;" FT"</f>
        <v>11.5 FT</v>
      </c>
      <c r="H19" s="390" t="str">
        <f>A11&amp;" FT"</f>
        <v>23 FT</v>
      </c>
      <c r="I19" s="407" t="s">
        <v>48</v>
      </c>
      <c r="J19" s="409" t="s">
        <v>49</v>
      </c>
      <c r="N19" s="10"/>
      <c r="P19" s="10"/>
      <c r="Q19" s="64"/>
    </row>
    <row r="20" spans="1:17" x14ac:dyDescent="0.2">
      <c r="A20" s="30" t="s">
        <v>711</v>
      </c>
      <c r="B20" s="371">
        <f>IF(A10="Y",J20,I20)</f>
        <v>24</v>
      </c>
      <c r="C20" s="560" t="s">
        <v>27</v>
      </c>
      <c r="D20" s="27" t="s">
        <v>381</v>
      </c>
      <c r="E20" s="377">
        <v>0</v>
      </c>
      <c r="F20" s="370">
        <v>1.5</v>
      </c>
      <c r="G20" s="371">
        <f>A11/2</f>
        <v>11.5</v>
      </c>
      <c r="H20" s="371">
        <f>A11</f>
        <v>23</v>
      </c>
      <c r="I20" s="371">
        <f>IF(A10="Y",H20+3,H20+1)</f>
        <v>24</v>
      </c>
      <c r="J20" s="511">
        <f>IF(A10="Y",IF(A11+1&lt;='Pick List Data'!A162,'Pick List Data'!B162,IF(AND(A11+1&gt;'Pick List Data'!A162,A11+1&lt;='Pick List Data'!A163),'Pick List Data'!B163,'Pick List Data'!B164)),I20)</f>
        <v>24</v>
      </c>
      <c r="Q20" s="755"/>
    </row>
    <row r="21" spans="1:17" x14ac:dyDescent="0.2">
      <c r="A21" s="558" t="s">
        <v>233</v>
      </c>
      <c r="B21" s="211">
        <f>Input!D61</f>
        <v>6.5</v>
      </c>
      <c r="C21" s="560" t="s">
        <v>1</v>
      </c>
      <c r="D21" s="30" t="s">
        <v>0</v>
      </c>
      <c r="E21" s="379">
        <f>B21</f>
        <v>6.5</v>
      </c>
      <c r="F21" s="561">
        <f>$E21-F20*$B$25</f>
        <v>6.29</v>
      </c>
      <c r="G21" s="561">
        <f>$E21-G20*$B$25</f>
        <v>4.8899999999999997</v>
      </c>
      <c r="H21" s="561">
        <f>$E21-H20*$B$25</f>
        <v>3.28</v>
      </c>
      <c r="I21" s="561">
        <f>$E21-I20*$B$25</f>
        <v>3.1399999999999997</v>
      </c>
      <c r="J21" s="562">
        <f>$E21-J20*$B$25</f>
        <v>3.1399999999999997</v>
      </c>
      <c r="N21" s="10"/>
    </row>
    <row r="22" spans="1:17" x14ac:dyDescent="0.2">
      <c r="A22" s="558" t="s">
        <v>379</v>
      </c>
      <c r="B22" s="67">
        <f>(B21+B23)/2</f>
        <v>4.8899999999999997</v>
      </c>
      <c r="C22" s="560" t="s">
        <v>1</v>
      </c>
      <c r="D22" s="30" t="s">
        <v>2</v>
      </c>
      <c r="E22" s="379">
        <f>(E21-$B24)/2</f>
        <v>3.125</v>
      </c>
      <c r="F22" s="87">
        <f>(F21-$B24)/2</f>
        <v>3.02</v>
      </c>
      <c r="G22" s="87">
        <f>(G21-$B24)/2</f>
        <v>2.3199999999999998</v>
      </c>
      <c r="H22" s="87">
        <f>(H21-$B24)/2</f>
        <v>1.5149999999999999</v>
      </c>
      <c r="I22" s="87">
        <f>(I21-$B24)/2</f>
        <v>1.4449999999999998</v>
      </c>
      <c r="J22" s="380">
        <f>IF(A10="Y",(J21-$B24)/2,0)</f>
        <v>0</v>
      </c>
      <c r="N22" s="35"/>
    </row>
    <row r="23" spans="1:17" ht="25.5" x14ac:dyDescent="0.2">
      <c r="A23" s="558" t="s">
        <v>745</v>
      </c>
      <c r="B23" s="211">
        <f>Input!D62</f>
        <v>3.28</v>
      </c>
      <c r="C23" s="560" t="s">
        <v>1</v>
      </c>
      <c r="D23" s="30" t="s">
        <v>3</v>
      </c>
      <c r="E23" s="379">
        <f t="shared" ref="E23:J23" si="0">E28*E22^3*$B$24</f>
        <v>25.1007080078125</v>
      </c>
      <c r="F23" s="87">
        <f t="shared" si="0"/>
        <v>22.65461758</v>
      </c>
      <c r="G23" s="87">
        <f t="shared" si="0"/>
        <v>10.270695679999999</v>
      </c>
      <c r="H23" s="87">
        <f t="shared" si="0"/>
        <v>2.8600511821874997</v>
      </c>
      <c r="I23" s="87">
        <f t="shared" si="0"/>
        <v>2.4816438128124991</v>
      </c>
      <c r="J23" s="380">
        <f t="shared" si="0"/>
        <v>0</v>
      </c>
      <c r="N23" s="10"/>
    </row>
    <row r="24" spans="1:17" ht="14.25" x14ac:dyDescent="0.2">
      <c r="A24" s="558" t="s">
        <v>230</v>
      </c>
      <c r="B24" s="563">
        <f>Input!D63</f>
        <v>0.25</v>
      </c>
      <c r="C24" s="560" t="s">
        <v>1</v>
      </c>
      <c r="D24" s="30" t="s">
        <v>4</v>
      </c>
      <c r="E24" s="379">
        <f t="shared" ref="E24:J24" si="1">E22^2*E28*$B$24</f>
        <v>8.0322265625</v>
      </c>
      <c r="F24" s="87">
        <f t="shared" si="1"/>
        <v>7.5015290000000006</v>
      </c>
      <c r="G24" s="87">
        <f t="shared" si="1"/>
        <v>4.4270239999999994</v>
      </c>
      <c r="H24" s="87">
        <f t="shared" si="1"/>
        <v>1.8878225624999998</v>
      </c>
      <c r="I24" s="87">
        <f t="shared" si="1"/>
        <v>1.7174005624999997</v>
      </c>
      <c r="J24" s="380">
        <f t="shared" si="1"/>
        <v>0</v>
      </c>
      <c r="N24" s="58"/>
    </row>
    <row r="25" spans="1:17" ht="14.25" x14ac:dyDescent="0.2">
      <c r="A25" s="559" t="s">
        <v>380</v>
      </c>
      <c r="B25" s="67">
        <f>(B21-B23)/A11</f>
        <v>0.14000000000000001</v>
      </c>
      <c r="C25" s="560" t="s">
        <v>7</v>
      </c>
      <c r="D25" s="30" t="s">
        <v>5</v>
      </c>
      <c r="E25" s="379">
        <f>E22*$B$24*VLOOKUP($B$18,'Pick List Data'!$A$74:$H$78,5,0)</f>
        <v>5.0234375</v>
      </c>
      <c r="F25" s="87">
        <f>F22*$B$24*VLOOKUP($B$18,'Pick List Data'!$A$74:$H$78,5,0)</f>
        <v>4.8546499999999995</v>
      </c>
      <c r="G25" s="87">
        <f>G22*$B$24*VLOOKUP($B$18,'Pick List Data'!$A$74:$H$78,5,0)</f>
        <v>3.7293999999999996</v>
      </c>
      <c r="H25" s="87">
        <f>H22*$B$24*VLOOKUP($B$18,'Pick List Data'!$A$74:$H$78,5,0)</f>
        <v>2.4353624999999997</v>
      </c>
      <c r="I25" s="87">
        <f>I22*$B$24*VLOOKUP($B$18,'Pick List Data'!$A$74:$H$78,5,0)</f>
        <v>2.3228374999999994</v>
      </c>
      <c r="J25" s="380">
        <f>J22*$B$24*VLOOKUP($B$18,'Pick List Data'!$A$74:$H$78,5,0)</f>
        <v>0</v>
      </c>
    </row>
    <row r="26" spans="1:17" ht="25.5" x14ac:dyDescent="0.2">
      <c r="A26" s="558" t="s">
        <v>281</v>
      </c>
      <c r="B26" s="421">
        <f>VLOOKUP(B18,'Pick List Data'!A74:H78,2,0)</f>
        <v>12</v>
      </c>
      <c r="C26" s="564"/>
      <c r="D26" s="30" t="s">
        <v>8</v>
      </c>
      <c r="E26" s="379">
        <f>E22*VLOOKUP($B$18,'Pick List Data'!$A$74:$H$78,6,0)</f>
        <v>2.234375</v>
      </c>
      <c r="F26" s="87">
        <f>F22*VLOOKUP($B$18,'Pick List Data'!$A$74:$H$78,6,0)</f>
        <v>2.1593</v>
      </c>
      <c r="G26" s="87">
        <f>G22*VLOOKUP($B$18,'Pick List Data'!$A$74:$H$78,6,0)</f>
        <v>1.6587999999999998</v>
      </c>
      <c r="H26" s="87">
        <f>H22*VLOOKUP($B$18,'Pick List Data'!$A$74:$H$78,6,0)</f>
        <v>1.0832249999999999</v>
      </c>
      <c r="I26" s="87">
        <f>I22*VLOOKUP($B$18,'Pick List Data'!$A$74:$H$78,6,0)</f>
        <v>1.0331749999999997</v>
      </c>
      <c r="J26" s="380">
        <f>J22*VLOOKUP($B$18,'Pick List Data'!$A$74:$H$78,6,0)</f>
        <v>0</v>
      </c>
    </row>
    <row r="27" spans="1:17" ht="15.75" x14ac:dyDescent="0.2">
      <c r="A27" s="30" t="s">
        <v>298</v>
      </c>
      <c r="B27" s="370">
        <f>IF(B18="Round","N/A",'Pick List Data'!B102)</f>
        <v>0.375</v>
      </c>
      <c r="C27" s="29"/>
      <c r="D27" s="27" t="s">
        <v>382</v>
      </c>
      <c r="E27" s="565">
        <f t="shared" ref="E27:J27" si="2">IF($B$18="Round",PI()*E21,TAN(RADIANS(180/$B$26))*E21*$B$26)</f>
        <v>20.900037009627571</v>
      </c>
      <c r="F27" s="359">
        <f t="shared" si="2"/>
        <v>20.224805044701142</v>
      </c>
      <c r="G27" s="359">
        <f t="shared" si="2"/>
        <v>15.723258611858279</v>
      </c>
      <c r="H27" s="359">
        <f t="shared" si="2"/>
        <v>10.546480214088989</v>
      </c>
      <c r="I27" s="359">
        <f t="shared" si="2"/>
        <v>10.096325570804701</v>
      </c>
      <c r="J27" s="566">
        <f t="shared" si="2"/>
        <v>10.096325570804701</v>
      </c>
    </row>
    <row r="28" spans="1:17" x14ac:dyDescent="0.2">
      <c r="A28" s="558" t="s">
        <v>355</v>
      </c>
      <c r="B28" s="421">
        <f>IF(B18="Round","N/A",B27/B24)</f>
        <v>1.5</v>
      </c>
      <c r="C28" s="564"/>
      <c r="D28" s="30" t="s">
        <v>383</v>
      </c>
      <c r="E28" s="379">
        <f>VLOOKUP($B$18,'Pick List Data'!$A$74:$H$78,7,0)</f>
        <v>3.29</v>
      </c>
      <c r="F28" s="87">
        <f>VLOOKUP($B$18,'Pick List Data'!$A$74:$H$78,7,0)</f>
        <v>3.29</v>
      </c>
      <c r="G28" s="87">
        <f>VLOOKUP($B$18,'Pick List Data'!$A$74:$H$78,7,0)</f>
        <v>3.29</v>
      </c>
      <c r="H28" s="87">
        <f>VLOOKUP($B$18,'Pick List Data'!$A$74:$H$78,7,0)</f>
        <v>3.29</v>
      </c>
      <c r="I28" s="87">
        <f>VLOOKUP($B$18,'Pick List Data'!$A$74:$H$78,7,0)</f>
        <v>3.29</v>
      </c>
      <c r="J28" s="380">
        <f>VLOOKUP($B$18,'Pick List Data'!$A$74:$H$78,7,0)</f>
        <v>3.29</v>
      </c>
      <c r="O28" s="40"/>
    </row>
    <row r="29" spans="1:17" ht="16.5" thickBot="1" x14ac:dyDescent="0.25">
      <c r="A29" s="15"/>
      <c r="B29" s="560"/>
      <c r="C29" s="564"/>
      <c r="D29" s="27" t="s">
        <v>354</v>
      </c>
      <c r="E29" s="567">
        <f>IF($B$18="Round",1,MAX(($B$24/E22)*((E22/($B$28*$B$24)-0.5*(1+($B$28+1)/$B$28))/LN(($B$28+1)/$B$28))+($B$28*$B$24)/E22,1))</f>
        <v>1.2162645058238817</v>
      </c>
      <c r="F29" s="456">
        <f>IF($B$18="Round",1,MAX(($B$24/F22)*((F22/($B$28*$B$24)-0.5*(1+($B$28+1)/$B$28))/LN(($B$28+1)/$B$28))+($B$28*$B$24)/F22,1))</f>
        <v>1.2131766614144519</v>
      </c>
      <c r="G29" s="456">
        <f>IF($B$18="Round",1,MAX(($B$24/G22)*((G22/($B$28*$B$24)-0.5*(1+($B$28+1)/$B$28))/LN(($B$28+1)/$B$28))+($B$28*$B$24)/G22,1))</f>
        <v>1.1854481735424187</v>
      </c>
      <c r="H29" s="456">
        <f>IF($B$18="Round",1,MAX(($B$24/H22)*((H22/($B$28*$B$24)-0.5*(1+($B$28+1)/$B$28))/LN(($B$28+1)/$B$28))+($B$28*$B$24)/H22,1))</f>
        <v>1.1218831317077165</v>
      </c>
      <c r="I29" s="456">
        <f>IF($B$18="Round",1,MAX(($B$24/I22)*((I22/($B$28*$B$24)-0.5*(1+($B$28+1)/$B$28))/LN(($B$28+1)/$B$28))+($B$28*$B$24)/I22,1))</f>
        <v>1.1130086983057903</v>
      </c>
      <c r="J29" s="457">
        <f>IF(A10="Y",IF($B$18="Round",1,MAX(($B$24/J22)*((J22/($B$28*$B$24)-0.5*(1+($B$28+1)/$B$28))/LN(($B$28+1)/$B$28))+($B$28*$B$24)/J22,1)),0)</f>
        <v>0</v>
      </c>
      <c r="N29" s="40"/>
      <c r="O29" s="40"/>
    </row>
    <row r="30" spans="1:17" x14ac:dyDescent="0.2">
      <c r="A30" s="10"/>
      <c r="B30" s="15"/>
      <c r="C30" s="16"/>
      <c r="D30" s="19"/>
      <c r="G30" s="236"/>
      <c r="H30" s="236"/>
      <c r="I30" s="236"/>
      <c r="J30" s="236"/>
      <c r="K30" s="236"/>
      <c r="N30" s="40"/>
      <c r="O30" s="40"/>
    </row>
    <row r="31" spans="1:17" ht="17.25" customHeight="1" x14ac:dyDescent="0.2">
      <c r="A31" s="438" t="s">
        <v>401</v>
      </c>
      <c r="N31" s="40"/>
      <c r="O31" s="40"/>
      <c r="P31" s="7"/>
      <c r="Q31" s="3"/>
    </row>
    <row r="32" spans="1:17" x14ac:dyDescent="0.2">
      <c r="B32" s="34"/>
      <c r="N32" s="39"/>
      <c r="O32" s="40"/>
      <c r="P32" s="7"/>
      <c r="Q32" s="242"/>
    </row>
    <row r="33" spans="1:20" ht="15.75" x14ac:dyDescent="0.2">
      <c r="B33" s="34"/>
      <c r="C33" s="145" t="s">
        <v>449</v>
      </c>
      <c r="D33" s="43">
        <f>Input!D67</f>
        <v>4.5</v>
      </c>
      <c r="E33" s="1" t="s">
        <v>1</v>
      </c>
      <c r="N33" s="584" t="s">
        <v>518</v>
      </c>
      <c r="O33" s="242"/>
      <c r="P33" s="242"/>
      <c r="Q33" s="242"/>
    </row>
    <row r="34" spans="1:20" ht="15.75" customHeight="1" x14ac:dyDescent="0.2">
      <c r="B34" s="34"/>
      <c r="C34" s="145" t="s">
        <v>450</v>
      </c>
      <c r="D34" s="43">
        <f>Input!D68</f>
        <v>0.75</v>
      </c>
      <c r="E34" s="1" t="s">
        <v>1</v>
      </c>
      <c r="N34" s="4" t="s">
        <v>128</v>
      </c>
      <c r="O34" s="42">
        <f>ASIN((D33/2)/((F21-B24)/2))</f>
        <v>0.84058448172857769</v>
      </c>
      <c r="P34" s="1" t="s">
        <v>130</v>
      </c>
    </row>
    <row r="35" spans="1:20" x14ac:dyDescent="0.2">
      <c r="B35" s="34"/>
      <c r="C35" s="145" t="s">
        <v>451</v>
      </c>
      <c r="D35" s="43">
        <f>Input!D69</f>
        <v>3</v>
      </c>
      <c r="E35" s="1" t="s">
        <v>1</v>
      </c>
      <c r="N35" s="4" t="s">
        <v>147</v>
      </c>
      <c r="O35" s="711">
        <f>B24</f>
        <v>0.25</v>
      </c>
    </row>
    <row r="36" spans="1:20" ht="13.5" thickBot="1" x14ac:dyDescent="0.25">
      <c r="B36" s="34"/>
      <c r="N36" s="4" t="s">
        <v>146</v>
      </c>
      <c r="O36" s="42">
        <f>F21/2</f>
        <v>3.145</v>
      </c>
    </row>
    <row r="37" spans="1:20" ht="15" customHeight="1" thickBot="1" x14ac:dyDescent="0.25">
      <c r="D37" s="333" t="s">
        <v>50</v>
      </c>
      <c r="E37" s="439" t="s">
        <v>51</v>
      </c>
      <c r="F37" s="439" t="s">
        <v>52</v>
      </c>
      <c r="G37" s="439" t="s">
        <v>53</v>
      </c>
      <c r="H37" s="439" t="s">
        <v>402</v>
      </c>
      <c r="I37" s="440" t="s">
        <v>54</v>
      </c>
      <c r="N37" s="10" t="s">
        <v>148</v>
      </c>
    </row>
    <row r="38" spans="1:20" ht="14.25" x14ac:dyDescent="0.2">
      <c r="C38" s="445" t="s">
        <v>332</v>
      </c>
      <c r="D38" s="209">
        <f>F25</f>
        <v>4.8546499999999995</v>
      </c>
      <c r="E38" s="348">
        <v>0</v>
      </c>
      <c r="F38" s="348">
        <f>D38*E38</f>
        <v>0</v>
      </c>
      <c r="G38" s="448">
        <f>ABS(E38-$B$495)</f>
        <v>0</v>
      </c>
      <c r="H38" s="448">
        <f>+D38*G38^2</f>
        <v>0</v>
      </c>
      <c r="I38" s="449">
        <f>F23</f>
        <v>22.65461758</v>
      </c>
      <c r="N38" s="10" t="s">
        <v>513</v>
      </c>
      <c r="R38" s="1">
        <f>(1-3*O35/(2*O36)+O35^2/O36^2-O35^3/(4*O36^3))</f>
        <v>0.88695640230669681</v>
      </c>
    </row>
    <row r="39" spans="1:20" ht="14.25" x14ac:dyDescent="0.2">
      <c r="C39" s="446" t="s">
        <v>399</v>
      </c>
      <c r="D39" s="441">
        <f>-R43</f>
        <v>-1.2692825674101522</v>
      </c>
      <c r="E39" s="365">
        <f>R44</f>
        <v>2.6782375159642968</v>
      </c>
      <c r="F39" s="43">
        <f>D39*E39</f>
        <v>-3.399440190397351</v>
      </c>
      <c r="G39" s="59">
        <f>ABS(E39-D42)</f>
        <v>1.8352875985454498</v>
      </c>
      <c r="H39" s="59">
        <f>+D39*G39^2</f>
        <v>-4.2752998088536787</v>
      </c>
      <c r="I39" s="634">
        <f>-R42</f>
        <v>-0.12145399056937461</v>
      </c>
      <c r="N39" s="10" t="s">
        <v>512</v>
      </c>
      <c r="R39" s="1">
        <f>O34+SIN(O34)*COS(O34)-(2*SIN(O34)^2)/O34</f>
        <v>1.6855422860476255E-2</v>
      </c>
      <c r="T39" s="1" t="s">
        <v>514</v>
      </c>
    </row>
    <row r="40" spans="1:20" ht="13.5" customHeight="1" thickBot="1" x14ac:dyDescent="0.25">
      <c r="C40" s="447" t="s">
        <v>400</v>
      </c>
      <c r="D40" s="442">
        <f>2*D34*D35</f>
        <v>4.5</v>
      </c>
      <c r="E40" s="443">
        <f>F22+D34-D35/2</f>
        <v>2.27</v>
      </c>
      <c r="F40" s="349">
        <f>D40*E40</f>
        <v>10.215</v>
      </c>
      <c r="G40" s="444">
        <f>ABS(E40-D42)</f>
        <v>1.427050082581153</v>
      </c>
      <c r="H40" s="444">
        <f>+D40*G40^2</f>
        <v>9.1641237218769387</v>
      </c>
      <c r="I40" s="373">
        <f>2*D34*D35^3/12</f>
        <v>3.375</v>
      </c>
      <c r="N40" s="10" t="s">
        <v>149</v>
      </c>
      <c r="R40" s="7">
        <f>(O35^2*SIN(O34)^2)/(3*O36^2*O34*(2-O35/O36))*(1-O35/O36+O35^2/(6*O36^2))</f>
        <v>6.6741422981497561E-4</v>
      </c>
    </row>
    <row r="41" spans="1:20" ht="15" thickBot="1" x14ac:dyDescent="0.25">
      <c r="C41" s="4" t="s">
        <v>377</v>
      </c>
      <c r="D41" s="450">
        <f>SUM(D38:D40)</f>
        <v>8.0853674325898481</v>
      </c>
      <c r="E41" s="60"/>
      <c r="F41" s="60">
        <f>SUM(F38:F40)</f>
        <v>6.8155598096026484</v>
      </c>
      <c r="G41" s="60"/>
      <c r="H41" s="60">
        <f>SUM(H38:H40)</f>
        <v>4.88882391302326</v>
      </c>
      <c r="I41" s="61">
        <f>SUM(I38:I40)</f>
        <v>25.908163589430625</v>
      </c>
      <c r="N41" s="1" t="s">
        <v>150</v>
      </c>
      <c r="R41" s="8">
        <f>O36^3*O35</f>
        <v>7.7768184062500003</v>
      </c>
    </row>
    <row r="42" spans="1:20" x14ac:dyDescent="0.2">
      <c r="C42" s="4" t="s">
        <v>378</v>
      </c>
      <c r="D42" s="451">
        <f>F41/D41</f>
        <v>0.84294991741884706</v>
      </c>
      <c r="E42" s="62" t="s">
        <v>1</v>
      </c>
      <c r="F42" s="60"/>
      <c r="G42" s="60"/>
      <c r="H42" s="60"/>
      <c r="I42" s="60"/>
      <c r="R42" s="1">
        <f>R41*(R38*R39+R40)</f>
        <v>0.12145399056937461</v>
      </c>
    </row>
    <row r="43" spans="1:20" ht="15.75" x14ac:dyDescent="0.2">
      <c r="C43" s="4" t="s">
        <v>142</v>
      </c>
      <c r="D43" s="452">
        <f>F22+D42</f>
        <v>3.8629499174188471</v>
      </c>
      <c r="F43" s="60"/>
      <c r="G43" s="60"/>
      <c r="H43" s="60"/>
      <c r="I43" s="60"/>
      <c r="N43" s="10" t="s">
        <v>515</v>
      </c>
      <c r="R43" s="1">
        <f>O34*O35*(2*O36-O35)</f>
        <v>1.2692825674101522</v>
      </c>
    </row>
    <row r="44" spans="1:20" ht="18" customHeight="1" thickBot="1" x14ac:dyDescent="0.35">
      <c r="C44" s="6" t="s">
        <v>55</v>
      </c>
      <c r="D44" s="453">
        <f>H41+I41</f>
        <v>30.796987502453884</v>
      </c>
      <c r="E44" s="62" t="s">
        <v>804</v>
      </c>
      <c r="F44" s="91" t="s">
        <v>56</v>
      </c>
      <c r="G44" s="59">
        <f>D44/D43</f>
        <v>7.9724014447052092</v>
      </c>
      <c r="H44" s="62" t="s">
        <v>805</v>
      </c>
      <c r="I44" s="60"/>
      <c r="N44" s="1" t="s">
        <v>516</v>
      </c>
      <c r="R44" s="1">
        <f>O36-R45</f>
        <v>2.6782375159642968</v>
      </c>
    </row>
    <row r="45" spans="1:20" x14ac:dyDescent="0.2">
      <c r="N45" s="10" t="s">
        <v>517</v>
      </c>
      <c r="R45" s="1">
        <f>O36*(1-(2*SIN(O34))/(3*O34)*(1-O35/O36+1/(2-O35/O36)))</f>
        <v>0.46676248403570336</v>
      </c>
    </row>
    <row r="46" spans="1:20" ht="13.5" customHeight="1" x14ac:dyDescent="0.2">
      <c r="A46" s="10"/>
      <c r="B46" s="10"/>
      <c r="C46" s="10"/>
      <c r="D46" s="10"/>
      <c r="E46" s="10"/>
      <c r="F46" s="129"/>
      <c r="G46" s="10"/>
      <c r="H46" s="12"/>
    </row>
    <row r="47" spans="1:20" ht="15.75" x14ac:dyDescent="0.2">
      <c r="A47" s="325" t="s">
        <v>661</v>
      </c>
      <c r="B47" s="10"/>
      <c r="C47" s="10"/>
      <c r="D47" s="10"/>
      <c r="E47" s="10"/>
      <c r="F47" s="129"/>
      <c r="G47" s="10"/>
      <c r="H47" s="12"/>
      <c r="N47" s="10" t="s">
        <v>151</v>
      </c>
    </row>
    <row r="48" spans="1:20" ht="15.75" x14ac:dyDescent="0.2">
      <c r="A48" s="325"/>
      <c r="B48" s="10"/>
      <c r="C48" s="10"/>
      <c r="D48" s="10"/>
      <c r="E48" s="10"/>
      <c r="F48" s="129"/>
      <c r="G48" s="10"/>
      <c r="H48" s="12"/>
      <c r="N48" s="10" t="s">
        <v>150</v>
      </c>
      <c r="Q48" s="1">
        <f>O36^3*O35</f>
        <v>7.7768184062500003</v>
      </c>
    </row>
    <row r="49" spans="1:17" ht="14.25" x14ac:dyDescent="0.2">
      <c r="A49" s="374" t="s">
        <v>443</v>
      </c>
      <c r="B49" s="10"/>
      <c r="C49" s="10"/>
      <c r="D49" s="10"/>
      <c r="E49" s="10"/>
      <c r="F49" s="129"/>
      <c r="G49" s="10"/>
      <c r="H49" s="12"/>
      <c r="N49" s="10" t="s">
        <v>152</v>
      </c>
      <c r="Q49" s="1">
        <f>1-3*O35/(2*O36)+O35^2/O36^2-O35^3/(4*O36^3)</f>
        <v>0.88695640230669681</v>
      </c>
    </row>
    <row r="50" spans="1:17" ht="16.5" thickBot="1" x14ac:dyDescent="0.25">
      <c r="A50" s="325"/>
      <c r="B50" s="10"/>
      <c r="C50" s="10"/>
      <c r="D50" s="10"/>
      <c r="E50" s="10"/>
      <c r="F50" s="129"/>
      <c r="G50" s="10"/>
      <c r="H50" s="12"/>
      <c r="N50" s="10" t="s">
        <v>153</v>
      </c>
      <c r="Q50" s="8">
        <f>O34-SIN(O34)*COS(O34)</f>
        <v>0.34362692096427111</v>
      </c>
    </row>
    <row r="51" spans="1:17" ht="15.75" x14ac:dyDescent="0.2">
      <c r="A51" s="325"/>
      <c r="B51" s="10"/>
      <c r="C51" s="10"/>
      <c r="D51" s="10"/>
      <c r="E51" s="10"/>
      <c r="F51" s="129"/>
      <c r="G51" s="10"/>
      <c r="H51" s="12"/>
      <c r="Q51" s="1">
        <f>Q48*Q49*Q50</f>
        <v>2.3702350261549667</v>
      </c>
    </row>
    <row r="52" spans="1:17" ht="15.75" x14ac:dyDescent="0.2">
      <c r="A52" s="325"/>
      <c r="B52" s="10"/>
      <c r="C52" s="10"/>
      <c r="D52" s="10"/>
      <c r="E52" s="10"/>
      <c r="F52" s="129"/>
      <c r="G52" s="10"/>
      <c r="H52" s="12"/>
    </row>
    <row r="53" spans="1:17" ht="15.75" x14ac:dyDescent="0.2">
      <c r="A53" s="325"/>
      <c r="B53" s="10"/>
      <c r="C53" s="10"/>
      <c r="D53" s="10"/>
      <c r="E53" s="10"/>
      <c r="F53" s="129"/>
      <c r="G53" s="10"/>
      <c r="H53" s="12"/>
    </row>
    <row r="54" spans="1:17" ht="15.75" x14ac:dyDescent="0.2">
      <c r="A54" s="325"/>
      <c r="B54" s="10"/>
      <c r="C54" s="10"/>
      <c r="D54" s="10"/>
      <c r="E54" s="10"/>
      <c r="F54" s="129"/>
      <c r="G54" s="10"/>
      <c r="H54" s="12"/>
    </row>
    <row r="55" spans="1:17" ht="15.75" x14ac:dyDescent="0.2">
      <c r="A55" s="325"/>
      <c r="B55" s="10"/>
      <c r="C55" s="10"/>
      <c r="D55" s="10"/>
      <c r="E55" s="10"/>
      <c r="F55" s="129"/>
      <c r="G55" s="10"/>
      <c r="H55" s="12"/>
    </row>
    <row r="56" spans="1:17" ht="15.75" x14ac:dyDescent="0.2">
      <c r="A56" s="325"/>
      <c r="B56" s="10"/>
      <c r="C56" s="10"/>
      <c r="D56" s="10"/>
      <c r="E56" s="10"/>
      <c r="F56" s="129"/>
      <c r="G56" s="10"/>
      <c r="H56" s="12"/>
    </row>
    <row r="57" spans="1:17" ht="15.75" x14ac:dyDescent="0.2">
      <c r="A57" s="325"/>
      <c r="B57" s="10"/>
      <c r="C57" s="10"/>
      <c r="D57" s="10"/>
      <c r="E57" s="10"/>
      <c r="F57" s="129"/>
      <c r="G57" s="10"/>
      <c r="H57" s="12"/>
    </row>
    <row r="58" spans="1:17" ht="15.75" x14ac:dyDescent="0.2">
      <c r="A58" s="325"/>
      <c r="B58" s="10"/>
      <c r="C58" s="10"/>
      <c r="D58" s="10"/>
      <c r="E58" s="10"/>
      <c r="F58" s="129"/>
      <c r="G58" s="10"/>
      <c r="H58" s="12"/>
    </row>
    <row r="59" spans="1:17" ht="15.75" x14ac:dyDescent="0.2">
      <c r="A59" s="325"/>
      <c r="B59" s="10"/>
      <c r="C59" s="10"/>
      <c r="D59" s="10"/>
      <c r="E59" s="10"/>
      <c r="F59" s="129"/>
      <c r="G59" s="10"/>
      <c r="H59" s="12"/>
    </row>
    <row r="60" spans="1:17" ht="15.75" x14ac:dyDescent="0.2">
      <c r="A60" s="325"/>
      <c r="B60" s="10"/>
      <c r="C60" s="10"/>
      <c r="D60" s="10"/>
      <c r="E60" s="10"/>
      <c r="F60" s="129"/>
      <c r="G60" s="10"/>
      <c r="H60" s="12"/>
    </row>
    <row r="61" spans="1:17" ht="15.75" x14ac:dyDescent="0.2">
      <c r="A61" s="325"/>
      <c r="B61" s="10"/>
      <c r="C61" s="10"/>
      <c r="D61" s="10"/>
      <c r="E61" s="10"/>
      <c r="F61" s="129"/>
      <c r="G61" s="10"/>
      <c r="H61" s="12"/>
    </row>
    <row r="62" spans="1:17" ht="18" customHeight="1" x14ac:dyDescent="0.2">
      <c r="A62" s="374" t="s">
        <v>654</v>
      </c>
      <c r="F62" s="58"/>
      <c r="I62" s="419"/>
      <c r="J62" s="419"/>
    </row>
    <row r="63" spans="1:17" ht="18" customHeight="1" thickBot="1" x14ac:dyDescent="0.25">
      <c r="A63" s="420" t="s">
        <v>655</v>
      </c>
      <c r="F63" s="58"/>
      <c r="I63" s="419"/>
      <c r="J63" s="419"/>
    </row>
    <row r="64" spans="1:17" ht="39" thickBot="1" x14ac:dyDescent="0.25">
      <c r="B64" s="20"/>
      <c r="C64" s="21"/>
      <c r="E64" s="10"/>
      <c r="F64" s="341" t="s">
        <v>349</v>
      </c>
      <c r="G64" s="417" t="s">
        <v>101</v>
      </c>
      <c r="H64" s="417" t="s">
        <v>652</v>
      </c>
      <c r="I64" s="417" t="s">
        <v>625</v>
      </c>
      <c r="J64" s="418" t="s">
        <v>330</v>
      </c>
    </row>
    <row r="65" spans="1:10" x14ac:dyDescent="0.2">
      <c r="A65" s="22"/>
      <c r="B65" s="22"/>
      <c r="C65" s="23"/>
      <c r="D65" s="22"/>
      <c r="E65" s="10"/>
      <c r="F65" s="435" t="str">
        <f t="shared" ref="F65:J66" si="3">E19</f>
        <v>BASE</v>
      </c>
      <c r="G65" s="364" t="str">
        <f t="shared" si="3"/>
        <v>1.5 FT</v>
      </c>
      <c r="H65" s="364" t="str">
        <f t="shared" si="3"/>
        <v>11.5 FT</v>
      </c>
      <c r="I65" s="741" t="str">
        <f>H19</f>
        <v>23 FT</v>
      </c>
      <c r="J65" s="436" t="str">
        <f t="shared" si="3"/>
        <v>TOP 1</v>
      </c>
    </row>
    <row r="66" spans="1:10" x14ac:dyDescent="0.2">
      <c r="D66" s="25"/>
      <c r="E66" s="2" t="s">
        <v>381</v>
      </c>
      <c r="F66" s="433">
        <f t="shared" si="3"/>
        <v>0</v>
      </c>
      <c r="G66" s="362">
        <f t="shared" si="3"/>
        <v>1.5</v>
      </c>
      <c r="H66" s="362">
        <f t="shared" si="3"/>
        <v>11.5</v>
      </c>
      <c r="I66" s="248">
        <f t="shared" si="3"/>
        <v>23</v>
      </c>
      <c r="J66" s="434">
        <f t="shared" si="3"/>
        <v>24</v>
      </c>
    </row>
    <row r="67" spans="1:10" ht="15.75" customHeight="1" thickBot="1" x14ac:dyDescent="0.25">
      <c r="A67" s="22"/>
      <c r="B67" s="24"/>
      <c r="C67" s="21"/>
      <c r="D67" s="26"/>
      <c r="E67" s="4" t="s">
        <v>59</v>
      </c>
      <c r="F67" s="229">
        <f>G67+490*(F20-E20)*(E25+F25)/2/144</f>
        <v>299.97289583333333</v>
      </c>
      <c r="G67" s="300">
        <f>H67+490*(G20-F20)*(F25+G25)/2/144</f>
        <v>274.76319335937501</v>
      </c>
      <c r="H67" s="300">
        <f>I67+490*(H20-G20)*(G25+H25)/2/144</f>
        <v>128.71512044270833</v>
      </c>
      <c r="I67" s="300">
        <f>J67+490*(I20-H20)*(I25+H25)/2/144</f>
        <v>8.0955486111111075</v>
      </c>
      <c r="J67" s="301">
        <f>IF(A10="Y",490*(J20-I20)*(I25+J25)/2/144,0)</f>
        <v>0</v>
      </c>
    </row>
    <row r="68" spans="1:10" ht="13.5" thickBot="1" x14ac:dyDescent="0.25">
      <c r="A68" s="20"/>
      <c r="B68" s="20"/>
      <c r="C68" s="21"/>
      <c r="E68" s="68" t="s">
        <v>60</v>
      </c>
      <c r="F68" s="469">
        <f>SUM(F67:F67)</f>
        <v>299.97289583333333</v>
      </c>
      <c r="G68" s="7"/>
      <c r="H68" s="7"/>
      <c r="I68" s="7"/>
      <c r="J68" s="7"/>
    </row>
    <row r="69" spans="1:10" x14ac:dyDescent="0.2">
      <c r="A69" s="420" t="s">
        <v>656</v>
      </c>
      <c r="B69" s="11"/>
      <c r="C69" s="11"/>
    </row>
    <row r="70" spans="1:10" ht="15.75" customHeight="1" x14ac:dyDescent="0.3">
      <c r="A70" s="6" t="s">
        <v>9</v>
      </c>
      <c r="B70" s="370">
        <f>A14</f>
        <v>80</v>
      </c>
      <c r="C70" s="11" t="s">
        <v>10</v>
      </c>
      <c r="D70" s="879" t="s">
        <v>11</v>
      </c>
      <c r="E70" s="879"/>
      <c r="F70" s="879"/>
      <c r="G70" s="879"/>
      <c r="H70" s="879"/>
    </row>
    <row r="71" spans="1:10" ht="15.75" customHeight="1" x14ac:dyDescent="0.3">
      <c r="A71" s="6" t="s">
        <v>19</v>
      </c>
      <c r="B71" s="67">
        <f>VLOOKUP(B18,'Pick List Data'!A94:E98,5,0)</f>
        <v>1.1891715540961443</v>
      </c>
      <c r="C71" s="11"/>
      <c r="D71" s="879" t="s">
        <v>12</v>
      </c>
      <c r="E71" s="879"/>
      <c r="F71" s="879"/>
      <c r="G71" s="879"/>
      <c r="H71" s="879"/>
    </row>
    <row r="72" spans="1:10" ht="15.75" customHeight="1" x14ac:dyDescent="0.3">
      <c r="A72" s="6" t="s">
        <v>13</v>
      </c>
      <c r="B72" s="421">
        <f>IF(AND(B20/2&gt;'Pick List Data'!A152,B20/2&lt;='Pick List Data'!C152),'Pick List Data'!D152,IF(AND(B20/2&gt;'Pick List Data'!A153,B20/2&lt;='Pick List Data'!C153),'Pick List Data'!D153,IF(AND(B20/2&gt;'Pick List Data'!A154,B20/2&lt;='Pick List Data'!C154),'Pick List Data'!D154,IF(AND(B20/2&gt;'Pick List Data'!A155,B20/2&lt;='Pick List Data'!C155),'Pick List Data'!D155,IF(AND(B20/2&gt;'Pick List Data'!A156,B20/2&lt;='Pick List Data'!C156),'Pick List Data'!D156,IF(AND(B20/2&gt;'Pick List Data'!A157,B20/2&lt;='Pick List Data'!C157),'Pick List Data'!D157,IF(AND(B20/2&gt;'Pick List Data'!A158,B20/2&lt;='Pick List Data'!C158),'Pick List Data'!D158,"Height exceeds maximum")))))))</f>
        <v>0.8</v>
      </c>
      <c r="C72" s="11"/>
      <c r="D72" s="873" t="s">
        <v>14</v>
      </c>
      <c r="E72" s="873"/>
      <c r="F72" s="873"/>
      <c r="G72" s="873"/>
      <c r="H72" s="873"/>
      <c r="I72" s="873"/>
      <c r="J72" s="873"/>
    </row>
    <row r="73" spans="1:10" ht="15.75" customHeight="1" x14ac:dyDescent="0.3">
      <c r="A73" s="6" t="s">
        <v>16</v>
      </c>
      <c r="B73" s="371">
        <f>0.00256*(1.3*B70)^2*B71*B72</f>
        <v>26.341538875604783</v>
      </c>
      <c r="C73" s="11" t="s">
        <v>17</v>
      </c>
      <c r="D73" s="10" t="s">
        <v>457</v>
      </c>
      <c r="E73" s="28"/>
      <c r="F73" s="28"/>
      <c r="G73" s="28"/>
      <c r="H73" s="28"/>
      <c r="I73" s="28"/>
    </row>
    <row r="74" spans="1:10" ht="15.75" customHeight="1" x14ac:dyDescent="0.3">
      <c r="A74" s="6" t="s">
        <v>61</v>
      </c>
      <c r="B74" s="371">
        <f>IF(B73&gt;25,B73,25)</f>
        <v>26.341538875604783</v>
      </c>
      <c r="D74" s="10" t="s">
        <v>62</v>
      </c>
    </row>
    <row r="75" spans="1:10" ht="15.75" customHeight="1" x14ac:dyDescent="0.2">
      <c r="A75" s="2" t="s">
        <v>15</v>
      </c>
      <c r="B75" s="371">
        <f>B70*B22/12</f>
        <v>32.6</v>
      </c>
      <c r="C75" s="69"/>
      <c r="D75" s="40"/>
    </row>
    <row r="76" spans="1:10" ht="15.75" customHeight="1" thickBot="1" x14ac:dyDescent="0.25">
      <c r="A76" s="420"/>
      <c r="C76" s="69"/>
      <c r="D76" s="40"/>
      <c r="I76" s="37"/>
      <c r="J76" s="242"/>
    </row>
    <row r="77" spans="1:10" ht="39" thickBot="1" x14ac:dyDescent="0.25">
      <c r="E77" s="10"/>
      <c r="F77" s="341" t="s">
        <v>349</v>
      </c>
      <c r="G77" s="393" t="s">
        <v>101</v>
      </c>
      <c r="H77" s="417" t="s">
        <v>652</v>
      </c>
      <c r="I77" s="417" t="s">
        <v>625</v>
      </c>
      <c r="J77" s="394" t="s">
        <v>330</v>
      </c>
    </row>
    <row r="78" spans="1:10" x14ac:dyDescent="0.2">
      <c r="E78" s="10"/>
      <c r="F78" s="435" t="str">
        <f t="shared" ref="F78:J79" si="4">E19</f>
        <v>BASE</v>
      </c>
      <c r="G78" s="364" t="str">
        <f t="shared" si="4"/>
        <v>1.5 FT</v>
      </c>
      <c r="H78" s="364" t="str">
        <f t="shared" si="4"/>
        <v>11.5 FT</v>
      </c>
      <c r="I78" s="364" t="str">
        <f t="shared" si="4"/>
        <v>23 FT</v>
      </c>
      <c r="J78" s="436" t="str">
        <f t="shared" si="4"/>
        <v>TOP 1</v>
      </c>
    </row>
    <row r="79" spans="1:10" x14ac:dyDescent="0.2">
      <c r="E79" s="2" t="s">
        <v>381</v>
      </c>
      <c r="F79" s="433">
        <f t="shared" si="4"/>
        <v>0</v>
      </c>
      <c r="G79" s="362">
        <f t="shared" si="4"/>
        <v>1.5</v>
      </c>
      <c r="H79" s="362">
        <f t="shared" si="4"/>
        <v>11.5</v>
      </c>
      <c r="I79" s="501">
        <f t="shared" si="4"/>
        <v>23</v>
      </c>
      <c r="J79" s="434">
        <f t="shared" si="4"/>
        <v>24</v>
      </c>
    </row>
    <row r="80" spans="1:10" ht="15.75" customHeight="1" x14ac:dyDescent="0.2">
      <c r="B80" s="2"/>
      <c r="C80" s="23"/>
      <c r="E80" s="2" t="s">
        <v>63</v>
      </c>
      <c r="F80" s="210">
        <f>B20*B73*B22/12</f>
        <v>257.62025020341474</v>
      </c>
      <c r="G80" s="67">
        <f>F80-F80*G79/B$20</f>
        <v>241.51898456570132</v>
      </c>
      <c r="H80" s="67">
        <f>F80-F80*H79/B20</f>
        <v>134.17721364761184</v>
      </c>
      <c r="I80" s="67">
        <f>F80-F80*I79/B20</f>
        <v>10.734177091808931</v>
      </c>
      <c r="J80" s="299">
        <f>F80-F80*J79/B20</f>
        <v>0</v>
      </c>
    </row>
    <row r="81" spans="1:12" ht="15.75" customHeight="1" x14ac:dyDescent="0.2">
      <c r="A81" s="20"/>
      <c r="B81" s="20"/>
      <c r="C81" s="25"/>
      <c r="D81" s="34"/>
      <c r="E81" s="4" t="s">
        <v>64</v>
      </c>
      <c r="F81" s="210">
        <f>F80*$B$20/2</f>
        <v>3091.4430024409767</v>
      </c>
      <c r="G81" s="67">
        <f>F81-F81*G79/$B$20</f>
        <v>2898.2278147884158</v>
      </c>
      <c r="H81" s="67">
        <f>$F81-$F81*H$79/$B$20</f>
        <v>1610.126563771342</v>
      </c>
      <c r="I81" s="67">
        <f>$F81-$F81*I$79/$B$20</f>
        <v>128.8101251017074</v>
      </c>
      <c r="J81" s="299">
        <f>$F81-$F81*J$79/$B$20</f>
        <v>0</v>
      </c>
    </row>
    <row r="82" spans="1:12" ht="15.75" customHeight="1" x14ac:dyDescent="0.2">
      <c r="A82" s="20"/>
      <c r="B82" s="20"/>
      <c r="C82" s="25"/>
      <c r="D82" s="34"/>
      <c r="E82" s="2" t="s">
        <v>65</v>
      </c>
      <c r="F82" s="210">
        <f>F80*$B74/$B73</f>
        <v>257.62025020341474</v>
      </c>
      <c r="G82" s="67">
        <f>G80*$B74/$B73</f>
        <v>241.51898456570134</v>
      </c>
      <c r="H82" s="67">
        <f>H80*$B74/$B73</f>
        <v>134.17721364761184</v>
      </c>
      <c r="I82" s="67">
        <f>I80*$B74/$B73</f>
        <v>10.734177091808931</v>
      </c>
      <c r="J82" s="299">
        <f>J80*$B74/$B73</f>
        <v>0</v>
      </c>
    </row>
    <row r="83" spans="1:12" ht="15.75" customHeight="1" thickBot="1" x14ac:dyDescent="0.25">
      <c r="A83" s="20"/>
      <c r="B83" s="20"/>
      <c r="C83" s="25"/>
      <c r="D83" s="34"/>
      <c r="E83" s="2" t="s">
        <v>82</v>
      </c>
      <c r="F83" s="229">
        <f>F81*$B74/$B73</f>
        <v>3091.4430024409767</v>
      </c>
      <c r="G83" s="300">
        <f>G81*$B74/$B73</f>
        <v>2898.2278147884153</v>
      </c>
      <c r="H83" s="300">
        <f>H81*$B74/$B73</f>
        <v>1610.126563771342</v>
      </c>
      <c r="I83" s="300">
        <f>I81*$B74/$B73</f>
        <v>128.8101251017074</v>
      </c>
      <c r="J83" s="301">
        <f>J81*$B74/$B73</f>
        <v>0</v>
      </c>
    </row>
    <row r="84" spans="1:12" ht="13.5" thickBot="1" x14ac:dyDescent="0.25">
      <c r="A84" s="420" t="s">
        <v>657</v>
      </c>
      <c r="H84" s="37"/>
      <c r="I84" s="242"/>
    </row>
    <row r="85" spans="1:12" ht="39" thickBot="1" x14ac:dyDescent="0.25">
      <c r="F85" s="341" t="s">
        <v>349</v>
      </c>
      <c r="G85" s="393" t="s">
        <v>101</v>
      </c>
      <c r="H85" s="417" t="s">
        <v>652</v>
      </c>
      <c r="I85" s="417" t="s">
        <v>625</v>
      </c>
      <c r="J85" s="394" t="s">
        <v>330</v>
      </c>
    </row>
    <row r="86" spans="1:12" x14ac:dyDescent="0.2">
      <c r="A86" s="10"/>
      <c r="B86" s="10"/>
      <c r="C86" s="10"/>
      <c r="D86" s="10"/>
      <c r="E86" s="10"/>
      <c r="F86" s="435" t="str">
        <f t="shared" ref="F86:J87" si="5">E19</f>
        <v>BASE</v>
      </c>
      <c r="G86" s="364" t="str">
        <f t="shared" si="5"/>
        <v>1.5 FT</v>
      </c>
      <c r="H86" s="364" t="str">
        <f t="shared" si="5"/>
        <v>11.5 FT</v>
      </c>
      <c r="I86" s="364" t="str">
        <f t="shared" si="5"/>
        <v>23 FT</v>
      </c>
      <c r="J86" s="436" t="str">
        <f t="shared" si="5"/>
        <v>TOP 1</v>
      </c>
    </row>
    <row r="87" spans="1:12" x14ac:dyDescent="0.2">
      <c r="A87" s="20"/>
      <c r="B87" s="20"/>
      <c r="C87" s="34"/>
      <c r="D87" s="34"/>
      <c r="E87" s="2" t="s">
        <v>381</v>
      </c>
      <c r="F87" s="433">
        <f t="shared" si="5"/>
        <v>0</v>
      </c>
      <c r="G87" s="362">
        <f t="shared" si="5"/>
        <v>1.5</v>
      </c>
      <c r="H87" s="362">
        <f t="shared" si="5"/>
        <v>11.5</v>
      </c>
      <c r="I87" s="362">
        <f t="shared" si="5"/>
        <v>23</v>
      </c>
      <c r="J87" s="434">
        <f t="shared" si="5"/>
        <v>24</v>
      </c>
    </row>
    <row r="88" spans="1:12" ht="15.75" customHeight="1" thickBot="1" x14ac:dyDescent="0.25">
      <c r="A88" s="20"/>
      <c r="B88" s="20"/>
      <c r="C88" s="34"/>
      <c r="D88" s="34"/>
      <c r="E88" s="2" t="s">
        <v>394</v>
      </c>
      <c r="F88" s="229">
        <f>G88+A13*(F20-E20)*(E27+F27)/24</f>
        <v>92.989087741296828</v>
      </c>
      <c r="G88" s="300">
        <f>H88+A13*(G20-F20)*(F27+G27)/24</f>
        <v>85.278179856110199</v>
      </c>
      <c r="H88" s="300">
        <f>I88+A13*(H20-G20)*(G27+H27)/24</f>
        <v>40.343100285410912</v>
      </c>
      <c r="I88" s="300">
        <f>J88+A13*(I20-H20)*(H27+I27)/24</f>
        <v>2.5803507231117111</v>
      </c>
      <c r="J88" s="301">
        <f>A13*(J20-I20)*(I27+J27)/24</f>
        <v>0</v>
      </c>
    </row>
    <row r="89" spans="1:12" x14ac:dyDescent="0.2">
      <c r="A89" s="374" t="s">
        <v>67</v>
      </c>
      <c r="B89" s="20"/>
      <c r="C89" s="21"/>
      <c r="E89" s="68"/>
      <c r="F89" s="70"/>
      <c r="G89" s="7"/>
      <c r="H89" s="7"/>
      <c r="I89" s="7"/>
      <c r="J89" s="7"/>
      <c r="K89" s="7"/>
    </row>
    <row r="90" spans="1:12" x14ac:dyDescent="0.2">
      <c r="A90" s="420" t="s">
        <v>388</v>
      </c>
      <c r="B90" s="20"/>
      <c r="C90" s="21"/>
      <c r="E90" s="68"/>
      <c r="F90" s="70"/>
      <c r="G90" s="7"/>
      <c r="H90" s="7"/>
      <c r="I90" s="7"/>
      <c r="J90" s="7"/>
      <c r="K90" s="7"/>
    </row>
    <row r="91" spans="1:12" ht="15.75" customHeight="1" x14ac:dyDescent="0.2">
      <c r="A91" s="20"/>
      <c r="B91" s="67" t="s">
        <v>21</v>
      </c>
      <c r="C91" s="32" t="s">
        <v>68</v>
      </c>
      <c r="D91" s="32" t="s">
        <v>25</v>
      </c>
      <c r="F91" s="7"/>
      <c r="G91" s="7"/>
      <c r="H91" s="7"/>
      <c r="I91" s="7"/>
      <c r="J91" s="7"/>
    </row>
    <row r="92" spans="1:12" x14ac:dyDescent="0.2">
      <c r="A92" s="20"/>
      <c r="B92" s="32" t="s">
        <v>22</v>
      </c>
      <c r="C92" s="32" t="s">
        <v>23</v>
      </c>
      <c r="D92" s="32" t="s">
        <v>69</v>
      </c>
      <c r="F92" s="10" t="s">
        <v>70</v>
      </c>
      <c r="G92" s="10"/>
      <c r="H92" s="10"/>
    </row>
    <row r="93" spans="1:12" ht="15.75" customHeight="1" x14ac:dyDescent="0.2">
      <c r="A93" s="6" t="s">
        <v>331</v>
      </c>
      <c r="B93" s="71">
        <f>IF(A10="Y",Input!D55,0)</f>
        <v>0</v>
      </c>
      <c r="C93" s="51">
        <f>IF(A10="Y",Input!D57+J21/24,0)</f>
        <v>0</v>
      </c>
      <c r="D93" s="51">
        <f>B93*C93</f>
        <v>0</v>
      </c>
      <c r="F93" s="10" t="s">
        <v>72</v>
      </c>
      <c r="G93" s="73"/>
      <c r="H93" s="73"/>
      <c r="I93" s="73"/>
      <c r="J93" s="73"/>
      <c r="L93" s="72"/>
    </row>
    <row r="94" spans="1:12" ht="26.25" thickBot="1" x14ac:dyDescent="0.25">
      <c r="A94" s="568" t="s">
        <v>478</v>
      </c>
      <c r="B94" s="71">
        <f>IF(A10="Y",Input!D56,0)</f>
        <v>0</v>
      </c>
      <c r="C94" s="51">
        <f>IF(A10="Y",0.5*Input!D57+J21/24,0)</f>
        <v>0</v>
      </c>
      <c r="D94" s="51">
        <f>B94*C94</f>
        <v>0</v>
      </c>
      <c r="F94" s="10" t="s">
        <v>459</v>
      </c>
      <c r="G94" s="545"/>
      <c r="H94" s="545"/>
      <c r="I94" s="545"/>
      <c r="J94" s="545"/>
      <c r="L94" s="72"/>
    </row>
    <row r="95" spans="1:12" ht="39" thickBot="1" x14ac:dyDescent="0.25">
      <c r="A95" s="10"/>
      <c r="B95" s="10"/>
      <c r="C95" s="10"/>
      <c r="D95" s="10"/>
      <c r="E95" s="10"/>
      <c r="F95" s="341" t="s">
        <v>349</v>
      </c>
      <c r="G95" s="393" t="s">
        <v>101</v>
      </c>
      <c r="H95" s="417" t="s">
        <v>652</v>
      </c>
      <c r="I95" s="417" t="s">
        <v>625</v>
      </c>
      <c r="J95" s="394" t="s">
        <v>330</v>
      </c>
    </row>
    <row r="96" spans="1:12" x14ac:dyDescent="0.2">
      <c r="E96" s="2" t="s">
        <v>381</v>
      </c>
      <c r="F96" s="435">
        <f>E20</f>
        <v>0</v>
      </c>
      <c r="G96" s="364">
        <f>F20</f>
        <v>1.5</v>
      </c>
      <c r="H96" s="364">
        <f>G20</f>
        <v>11.5</v>
      </c>
      <c r="I96" s="364">
        <f>H20</f>
        <v>23</v>
      </c>
      <c r="J96" s="436">
        <f>I20</f>
        <v>24</v>
      </c>
      <c r="L96" s="73"/>
    </row>
    <row r="97" spans="1:18" ht="15.75" customHeight="1" x14ac:dyDescent="0.2">
      <c r="A97" s="20"/>
      <c r="B97" s="21"/>
      <c r="E97" s="2" t="s">
        <v>395</v>
      </c>
      <c r="F97" s="210">
        <f>G97</f>
        <v>0</v>
      </c>
      <c r="G97" s="67">
        <f>H97</f>
        <v>0</v>
      </c>
      <c r="H97" s="67">
        <f>J97</f>
        <v>0</v>
      </c>
      <c r="I97" s="67">
        <f>J97</f>
        <v>0</v>
      </c>
      <c r="J97" s="299">
        <f>B94+B93</f>
        <v>0</v>
      </c>
    </row>
    <row r="98" spans="1:18" ht="15.75" customHeight="1" thickBot="1" x14ac:dyDescent="0.25">
      <c r="A98" s="20"/>
      <c r="B98" s="21"/>
      <c r="D98" s="68"/>
      <c r="E98" s="2" t="s">
        <v>746</v>
      </c>
      <c r="F98" s="229">
        <f>D93+D94</f>
        <v>0</v>
      </c>
      <c r="G98" s="300">
        <f>D93+D94</f>
        <v>0</v>
      </c>
      <c r="H98" s="300">
        <f>D93+D94</f>
        <v>0</v>
      </c>
      <c r="I98" s="300">
        <f>D93+D94</f>
        <v>0</v>
      </c>
      <c r="J98" s="301">
        <f>D93+D94</f>
        <v>0</v>
      </c>
    </row>
    <row r="99" spans="1:18" ht="15.75" customHeight="1" x14ac:dyDescent="0.2">
      <c r="A99" s="420" t="s">
        <v>389</v>
      </c>
      <c r="B99" s="20"/>
      <c r="C99" s="21"/>
      <c r="E99" s="68"/>
      <c r="F99" s="4"/>
      <c r="G99" s="78"/>
      <c r="H99" s="78"/>
      <c r="I99" s="78"/>
      <c r="J99" s="78"/>
      <c r="K99" s="78"/>
    </row>
    <row r="100" spans="1:18" ht="25.5" x14ac:dyDescent="0.2">
      <c r="B100" s="243" t="s">
        <v>331</v>
      </c>
      <c r="C100" s="243" t="s">
        <v>390</v>
      </c>
    </row>
    <row r="101" spans="1:18" ht="15.75" customHeight="1" x14ac:dyDescent="0.3">
      <c r="A101" s="6" t="s">
        <v>9</v>
      </c>
      <c r="B101" s="51">
        <f>A14</f>
        <v>80</v>
      </c>
      <c r="C101" s="51">
        <f>A14</f>
        <v>80</v>
      </c>
      <c r="D101" s="74" t="s">
        <v>10</v>
      </c>
      <c r="F101" s="879" t="s">
        <v>11</v>
      </c>
      <c r="G101" s="879"/>
      <c r="H101" s="879"/>
      <c r="I101" s="879"/>
      <c r="J101" s="879"/>
    </row>
    <row r="102" spans="1:18" ht="15.75" customHeight="1" x14ac:dyDescent="0.3">
      <c r="A102" s="6" t="s">
        <v>19</v>
      </c>
      <c r="B102" s="67">
        <v>0.5</v>
      </c>
      <c r="C102" s="67">
        <v>1.1000000000000001</v>
      </c>
      <c r="D102" s="75"/>
      <c r="F102" s="879" t="s">
        <v>12</v>
      </c>
      <c r="G102" s="879"/>
      <c r="H102" s="879"/>
      <c r="I102" s="879"/>
      <c r="J102" s="879"/>
    </row>
    <row r="103" spans="1:18" ht="15.75" customHeight="1" x14ac:dyDescent="0.3">
      <c r="A103" s="6" t="s">
        <v>13</v>
      </c>
      <c r="B103" s="67">
        <f>IF(AND(B20+2&gt;'Pick List Data'!A152,B20+2&lt;='Pick List Data'!C152),'Pick List Data'!D152,IF(AND(B20+2&gt;'Pick List Data'!A153,B20+2&lt;='Pick List Data'!C153),'Pick List Data'!D153,IF(AND(B20+2&gt;'Pick List Data'!A154,B20+2&lt;='Pick List Data'!C154),'Pick List Data'!D154,IF(AND(B20+2&gt;'Pick List Data'!A155,B20+2&lt;='Pick List Data'!C155),'Pick List Data'!D155,IF(AND(B20+2&gt;'Pick List Data'!A156,B20+2&lt;='Pick List Data'!C156),'Pick List Data'!D156,IF(AND(B20+2&gt;'Pick List Data'!A157,B20+2&lt;='Pick List Data'!C157),'Pick List Data'!D157,IF(AND(B20+2&gt;'Pick List Data'!A158,B20+2&lt;='Pick List Data'!C158),'Pick List Data'!D158,"Height exceeds maximum")))))))</f>
        <v>1</v>
      </c>
      <c r="C103" s="67">
        <f>IF(AND(B20+1&gt;'Pick List Data'!A152,B20+1&lt;='Pick List Data'!C152),'Pick List Data'!D152,IF(AND(B20+1&gt;'Pick List Data'!A153,B20+1&lt;='Pick List Data'!C153),'Pick List Data'!D153,IF(AND(B20+1&gt;'Pick List Data'!A154,B20+1&lt;='Pick List Data'!C154),'Pick List Data'!D154,IF(AND(B20+1&gt;'Pick List Data'!A155,B20+1&lt;='Pick List Data'!C155),'Pick List Data'!D155,IF(AND(B20+1&gt;'Pick List Data'!A156,B20+1&lt;='Pick List Data'!C156),'Pick List Data'!D156,IF(AND(B20+1&gt;'Pick List Data'!A157,B20+1&lt;='Pick List Data'!C157),'Pick List Data'!D157,IF(AND(B20+1&gt;'Pick List Data'!A158,B20+1&lt;='Pick List Data'!C158),'Pick List Data'!D158,"Height exceeds maximum")))))))</f>
        <v>1</v>
      </c>
      <c r="D103" s="75"/>
      <c r="F103" s="873" t="s">
        <v>14</v>
      </c>
      <c r="G103" s="873"/>
      <c r="H103" s="873"/>
      <c r="I103" s="873"/>
      <c r="J103" s="873"/>
      <c r="K103" s="873"/>
    </row>
    <row r="104" spans="1:18" ht="15.75" customHeight="1" x14ac:dyDescent="0.3">
      <c r="A104" s="6" t="s">
        <v>16</v>
      </c>
      <c r="B104" s="51">
        <f>0.00256*(1.3*B101)^2*B102*B103</f>
        <v>13.844480000000001</v>
      </c>
      <c r="C104" s="51">
        <f>0.00256*(1.3*C101)^2*C102*C103</f>
        <v>30.457856000000003</v>
      </c>
      <c r="D104" s="74" t="s">
        <v>17</v>
      </c>
      <c r="F104" s="10" t="s">
        <v>20</v>
      </c>
    </row>
    <row r="105" spans="1:18" ht="15.75" customHeight="1" x14ac:dyDescent="0.3">
      <c r="A105" s="6" t="s">
        <v>71</v>
      </c>
      <c r="B105" s="371">
        <f>IF(B104&gt;25,B104,25)</f>
        <v>25</v>
      </c>
      <c r="C105" s="371">
        <f>IF(C104&gt;25,C104,25)</f>
        <v>30.457856000000003</v>
      </c>
      <c r="D105" s="74" t="s">
        <v>17</v>
      </c>
      <c r="F105" s="10" t="s">
        <v>72</v>
      </c>
    </row>
    <row r="106" spans="1:18" ht="15.75" customHeight="1" x14ac:dyDescent="0.3">
      <c r="A106" s="6" t="s">
        <v>73</v>
      </c>
      <c r="B106" s="51">
        <f>IF(A10="Y",1.5,0)</f>
        <v>0</v>
      </c>
      <c r="C106" s="51">
        <f>IF(A10="Y",5.75,0)</f>
        <v>0</v>
      </c>
      <c r="D106" s="76" t="s">
        <v>74</v>
      </c>
      <c r="F106" s="10" t="s">
        <v>459</v>
      </c>
    </row>
    <row r="107" spans="1:18" ht="15.75" customHeight="1" thickBot="1" x14ac:dyDescent="0.35">
      <c r="A107" s="6" t="s">
        <v>75</v>
      </c>
      <c r="B107" s="51">
        <f>4*B106</f>
        <v>0</v>
      </c>
      <c r="C107" s="51">
        <f>IF(A10="Y",17.3,0)</f>
        <v>0</v>
      </c>
      <c r="D107" s="76" t="s">
        <v>74</v>
      </c>
      <c r="I107" s="37"/>
      <c r="J107" s="242"/>
    </row>
    <row r="108" spans="1:18" ht="39" thickBot="1" x14ac:dyDescent="0.25">
      <c r="A108" s="27" t="s">
        <v>76</v>
      </c>
      <c r="B108" s="371">
        <f>B104*B106</f>
        <v>0</v>
      </c>
      <c r="C108" s="371">
        <f>C104*C106</f>
        <v>0</v>
      </c>
      <c r="D108" s="29" t="s">
        <v>77</v>
      </c>
      <c r="E108" s="10"/>
      <c r="F108" s="341" t="s">
        <v>349</v>
      </c>
      <c r="G108" s="393" t="s">
        <v>101</v>
      </c>
      <c r="H108" s="417" t="s">
        <v>652</v>
      </c>
      <c r="I108" s="417" t="s">
        <v>625</v>
      </c>
      <c r="J108" s="394" t="s">
        <v>330</v>
      </c>
    </row>
    <row r="109" spans="1:18" ht="25.5" x14ac:dyDescent="0.2">
      <c r="A109" s="2" t="s">
        <v>78</v>
      </c>
      <c r="B109" s="371">
        <f>B106*B105</f>
        <v>0</v>
      </c>
      <c r="C109" s="371">
        <f>C106*C105</f>
        <v>0</v>
      </c>
      <c r="D109" s="1" t="s">
        <v>77</v>
      </c>
      <c r="E109" s="4" t="s">
        <v>381</v>
      </c>
      <c r="F109" s="395">
        <f>E20</f>
        <v>0</v>
      </c>
      <c r="G109" s="368">
        <f>F20</f>
        <v>1.5</v>
      </c>
      <c r="H109" s="368">
        <f>G20</f>
        <v>11.5</v>
      </c>
      <c r="I109" s="368">
        <f>H20</f>
        <v>23</v>
      </c>
      <c r="J109" s="437">
        <f>I20</f>
        <v>24</v>
      </c>
    </row>
    <row r="110" spans="1:18" ht="15.75" customHeight="1" x14ac:dyDescent="0.2">
      <c r="A110" s="6" t="s">
        <v>79</v>
      </c>
      <c r="B110" s="51">
        <f>C93</f>
        <v>0</v>
      </c>
      <c r="C110" s="51">
        <f>C94</f>
        <v>0</v>
      </c>
      <c r="D110" s="77" t="s">
        <v>27</v>
      </c>
      <c r="E110" s="2" t="s">
        <v>80</v>
      </c>
      <c r="F110" s="210">
        <f>G110</f>
        <v>0</v>
      </c>
      <c r="G110" s="355">
        <f>H110</f>
        <v>0</v>
      </c>
      <c r="H110" s="355">
        <f>J110</f>
        <v>0</v>
      </c>
      <c r="I110" s="355">
        <f>J110</f>
        <v>0</v>
      </c>
      <c r="J110" s="470">
        <f>B108+C108</f>
        <v>0</v>
      </c>
    </row>
    <row r="111" spans="1:18" ht="15.75" customHeight="1" x14ac:dyDescent="0.2">
      <c r="A111" s="36"/>
      <c r="E111" s="4" t="s">
        <v>64</v>
      </c>
      <c r="F111" s="471">
        <f>($B$20-F109)*F110</f>
        <v>0</v>
      </c>
      <c r="G111" s="355">
        <f>($B$20-G109)*G110</f>
        <v>0</v>
      </c>
      <c r="H111" s="355">
        <f>($B$20-H109)*H110</f>
        <v>0</v>
      </c>
      <c r="I111" s="355">
        <f>($B$20-I109)*I110</f>
        <v>0</v>
      </c>
      <c r="J111" s="470">
        <f>(B20-J96)*J110</f>
        <v>0</v>
      </c>
      <c r="N111" s="10"/>
      <c r="O111" s="10"/>
      <c r="P111" s="10"/>
      <c r="Q111" s="10"/>
      <c r="R111" s="10"/>
    </row>
    <row r="112" spans="1:18" s="10" customFormat="1" ht="15.75" customHeight="1" x14ac:dyDescent="0.2">
      <c r="E112" s="4" t="s">
        <v>18</v>
      </c>
      <c r="F112" s="210">
        <f>J112</f>
        <v>0</v>
      </c>
      <c r="G112" s="355">
        <f>H112</f>
        <v>0</v>
      </c>
      <c r="H112" s="355">
        <f>J112</f>
        <v>0</v>
      </c>
      <c r="I112" s="355">
        <f>J112</f>
        <v>0</v>
      </c>
      <c r="J112" s="470">
        <f>C108*C110+B108*B110</f>
        <v>0</v>
      </c>
    </row>
    <row r="113" spans="1:23" s="10" customFormat="1" ht="15.75" customHeight="1" x14ac:dyDescent="0.2">
      <c r="E113" s="2" t="s">
        <v>81</v>
      </c>
      <c r="F113" s="210">
        <f>G113</f>
        <v>0</v>
      </c>
      <c r="G113" s="355">
        <f>H113</f>
        <v>0</v>
      </c>
      <c r="H113" s="355">
        <f>J113</f>
        <v>0</v>
      </c>
      <c r="I113" s="355">
        <f>J113</f>
        <v>0</v>
      </c>
      <c r="J113" s="470">
        <f>B109+C109</f>
        <v>0</v>
      </c>
    </row>
    <row r="114" spans="1:23" s="10" customFormat="1" ht="15.75" customHeight="1" x14ac:dyDescent="0.2">
      <c r="E114" s="2" t="s">
        <v>82</v>
      </c>
      <c r="F114" s="471">
        <f>($B$20-F109)*F113</f>
        <v>0</v>
      </c>
      <c r="G114" s="355">
        <f>($B$20-G109)*G113</f>
        <v>0</v>
      </c>
      <c r="H114" s="355">
        <f>($B$20-H109)*H113</f>
        <v>0</v>
      </c>
      <c r="I114" s="355">
        <f>($B$20-I109)*I113</f>
        <v>0</v>
      </c>
      <c r="J114" s="470">
        <f>(B20-J96)*J113</f>
        <v>0</v>
      </c>
    </row>
    <row r="115" spans="1:23" s="10" customFormat="1" ht="15.75" customHeight="1" thickBot="1" x14ac:dyDescent="0.25">
      <c r="E115" s="2" t="s">
        <v>83</v>
      </c>
      <c r="F115" s="229">
        <f>J115</f>
        <v>0</v>
      </c>
      <c r="G115" s="472">
        <f>H115</f>
        <v>0</v>
      </c>
      <c r="H115" s="472">
        <f>J115</f>
        <v>0</v>
      </c>
      <c r="I115" s="472">
        <f>J115</f>
        <v>0</v>
      </c>
      <c r="J115" s="473">
        <f>C109*C110+B109*B110</f>
        <v>0</v>
      </c>
    </row>
    <row r="116" spans="1:23" s="10" customFormat="1" ht="13.5" thickBot="1" x14ac:dyDescent="0.25">
      <c r="A116" s="420" t="s">
        <v>391</v>
      </c>
      <c r="E116" s="4"/>
      <c r="F116" s="78"/>
      <c r="G116" s="79"/>
      <c r="H116" s="37"/>
      <c r="I116" s="242"/>
      <c r="N116" s="1"/>
      <c r="O116" s="1"/>
      <c r="P116" s="1"/>
      <c r="Q116" s="1"/>
      <c r="R116" s="1"/>
    </row>
    <row r="117" spans="1:23" ht="39" thickBot="1" x14ac:dyDescent="0.25">
      <c r="F117" s="341" t="s">
        <v>349</v>
      </c>
      <c r="G117" s="393" t="s">
        <v>101</v>
      </c>
      <c r="H117" s="417" t="s">
        <v>652</v>
      </c>
      <c r="I117" s="417" t="s">
        <v>625</v>
      </c>
      <c r="J117" s="394" t="s">
        <v>330</v>
      </c>
    </row>
    <row r="118" spans="1:23" x14ac:dyDescent="0.2">
      <c r="A118" s="20"/>
      <c r="B118" s="20"/>
      <c r="C118" s="34"/>
      <c r="D118" s="34"/>
      <c r="E118" s="2" t="s">
        <v>381</v>
      </c>
      <c r="F118" s="435">
        <f>E20</f>
        <v>0</v>
      </c>
      <c r="G118" s="364">
        <f>F20</f>
        <v>1.5</v>
      </c>
      <c r="H118" s="364">
        <f>G20</f>
        <v>11.5</v>
      </c>
      <c r="I118" s="364">
        <f>H20</f>
        <v>23</v>
      </c>
      <c r="J118" s="436">
        <f>I20</f>
        <v>24</v>
      </c>
    </row>
    <row r="119" spans="1:23" ht="15.75" customHeight="1" x14ac:dyDescent="0.2">
      <c r="A119" s="20"/>
      <c r="B119" s="20"/>
      <c r="C119" s="34"/>
      <c r="D119" s="34"/>
      <c r="E119" s="2" t="s">
        <v>394</v>
      </c>
      <c r="F119" s="210">
        <f>A13*(B107+C107)</f>
        <v>0</v>
      </c>
      <c r="G119" s="67">
        <f>F119</f>
        <v>0</v>
      </c>
      <c r="H119" s="67">
        <f>F119</f>
        <v>0</v>
      </c>
      <c r="I119" s="67">
        <f>J119</f>
        <v>0</v>
      </c>
      <c r="J119" s="299">
        <f>F119</f>
        <v>0</v>
      </c>
    </row>
    <row r="120" spans="1:23" ht="15.75" customHeight="1" thickBot="1" x14ac:dyDescent="0.25">
      <c r="A120" s="20"/>
      <c r="B120" s="20"/>
      <c r="C120" s="34"/>
      <c r="D120" s="34"/>
      <c r="E120" s="2" t="s">
        <v>747</v>
      </c>
      <c r="F120" s="229">
        <f>A13*B107*B110+A13*C107*C110</f>
        <v>0</v>
      </c>
      <c r="G120" s="300">
        <f>F120</f>
        <v>0</v>
      </c>
      <c r="H120" s="300">
        <f>F120</f>
        <v>0</v>
      </c>
      <c r="I120" s="300">
        <f>J120</f>
        <v>0</v>
      </c>
      <c r="J120" s="301">
        <f>F120</f>
        <v>0</v>
      </c>
    </row>
    <row r="121" spans="1:23" x14ac:dyDescent="0.2">
      <c r="A121" s="10"/>
      <c r="B121" s="10"/>
      <c r="C121" s="10"/>
      <c r="D121" s="10"/>
      <c r="E121" s="10"/>
      <c r="F121" s="10"/>
      <c r="G121" s="10"/>
      <c r="H121" s="10"/>
      <c r="I121" s="10"/>
      <c r="J121" s="10"/>
    </row>
    <row r="122" spans="1:23" x14ac:dyDescent="0.2">
      <c r="A122" s="63" t="s">
        <v>622</v>
      </c>
      <c r="B122" s="264"/>
      <c r="C122" s="264"/>
      <c r="D122" s="264"/>
      <c r="E122" s="264"/>
      <c r="F122" s="264"/>
      <c r="G122" s="264"/>
      <c r="H122" s="264"/>
      <c r="I122" s="264"/>
      <c r="J122" s="264"/>
      <c r="K122" s="253"/>
      <c r="L122" s="253"/>
    </row>
    <row r="123" spans="1:23" ht="13.5" customHeight="1" x14ac:dyDescent="0.2">
      <c r="A123" s="585"/>
      <c r="B123" s="3"/>
      <c r="C123" s="3"/>
      <c r="D123" s="3"/>
      <c r="E123" s="3"/>
      <c r="F123" s="3"/>
      <c r="G123" s="3"/>
      <c r="H123" s="3"/>
      <c r="I123" s="3"/>
      <c r="J123" s="264"/>
      <c r="K123" s="267"/>
      <c r="L123" s="267"/>
      <c r="M123" s="9"/>
      <c r="W123" s="9"/>
    </row>
    <row r="124" spans="1:23" x14ac:dyDescent="0.2">
      <c r="A124" s="3"/>
      <c r="B124" s="18" t="s">
        <v>602</v>
      </c>
      <c r="C124" s="675" t="str">
        <f>Input!E17</f>
        <v>Design Tension</v>
      </c>
      <c r="D124" s="3"/>
      <c r="E124" s="3"/>
      <c r="F124" s="3"/>
      <c r="G124" s="3"/>
      <c r="H124" s="3"/>
      <c r="I124" s="3"/>
      <c r="J124" s="264"/>
      <c r="K124" s="267"/>
      <c r="L124" s="267"/>
      <c r="M124" s="9"/>
      <c r="W124" s="9"/>
    </row>
    <row r="125" spans="1:23" x14ac:dyDescent="0.2">
      <c r="A125" s="3"/>
      <c r="B125" s="3"/>
      <c r="C125" s="3"/>
      <c r="D125" s="3"/>
      <c r="E125" s="3"/>
      <c r="F125" s="3"/>
      <c r="G125" s="3"/>
      <c r="H125" s="3"/>
      <c r="I125" s="3"/>
      <c r="J125" s="264"/>
      <c r="K125" s="267"/>
      <c r="L125" s="267"/>
      <c r="M125" s="9"/>
      <c r="W125" s="9"/>
    </row>
    <row r="126" spans="1:23" x14ac:dyDescent="0.2">
      <c r="A126" s="3"/>
      <c r="B126" s="676" t="s">
        <v>623</v>
      </c>
      <c r="E126" s="37"/>
      <c r="F126" s="37"/>
      <c r="G126" s="37"/>
      <c r="H126" s="3"/>
      <c r="I126" s="3"/>
      <c r="J126" s="264"/>
      <c r="K126" s="253"/>
      <c r="L126" s="253"/>
    </row>
    <row r="127" spans="1:23" x14ac:dyDescent="0.2">
      <c r="A127" s="3"/>
      <c r="B127" s="676"/>
      <c r="E127" s="37"/>
      <c r="F127" s="883" t="s">
        <v>748</v>
      </c>
      <c r="G127" s="883"/>
      <c r="H127" s="883"/>
      <c r="I127" s="883"/>
      <c r="J127" s="883"/>
      <c r="K127" s="253"/>
      <c r="L127" s="253"/>
    </row>
    <row r="128" spans="1:23" ht="12.75" customHeight="1" x14ac:dyDescent="0.2">
      <c r="A128" s="3"/>
      <c r="B128" s="676"/>
      <c r="E128" s="37"/>
      <c r="F128" s="883"/>
      <c r="G128" s="883"/>
      <c r="H128" s="883"/>
      <c r="I128" s="883"/>
      <c r="J128" s="883"/>
      <c r="K128" s="253"/>
      <c r="L128" s="253"/>
    </row>
    <row r="129" spans="1:12" ht="12.75" customHeight="1" x14ac:dyDescent="0.2">
      <c r="A129" s="3"/>
      <c r="C129" s="18" t="s">
        <v>603</v>
      </c>
      <c r="D129" s="46">
        <f>Input!E20</f>
        <v>1000</v>
      </c>
      <c r="E129" s="3" t="s">
        <v>111</v>
      </c>
      <c r="F129" s="883"/>
      <c r="G129" s="883"/>
      <c r="H129" s="883"/>
      <c r="I129" s="883"/>
      <c r="J129" s="883"/>
      <c r="K129" s="253"/>
      <c r="L129" s="253"/>
    </row>
    <row r="130" spans="1:12" ht="13.5" thickBot="1" x14ac:dyDescent="0.25">
      <c r="A130" s="3"/>
      <c r="C130" s="18"/>
      <c r="D130" s="250"/>
      <c r="E130" s="3"/>
      <c r="F130" s="883"/>
      <c r="G130" s="883"/>
      <c r="H130" s="883"/>
      <c r="I130" s="883"/>
      <c r="J130" s="883"/>
      <c r="K130" s="253"/>
      <c r="L130" s="253"/>
    </row>
    <row r="131" spans="1:12" ht="64.5" thickBot="1" x14ac:dyDescent="0.25">
      <c r="A131" s="3"/>
      <c r="C131" s="645" t="s">
        <v>283</v>
      </c>
      <c r="D131" s="646" t="s">
        <v>767</v>
      </c>
      <c r="E131" s="647" t="s">
        <v>606</v>
      </c>
      <c r="F131" s="250"/>
      <c r="G131" s="645" t="s">
        <v>283</v>
      </c>
      <c r="H131" s="646" t="s">
        <v>768</v>
      </c>
      <c r="I131" s="647" t="s">
        <v>774</v>
      </c>
      <c r="J131" s="264"/>
      <c r="K131" s="253"/>
      <c r="L131" s="253"/>
    </row>
    <row r="132" spans="1:12" x14ac:dyDescent="0.2">
      <c r="A132" s="3"/>
      <c r="C132" s="648" t="s">
        <v>36</v>
      </c>
      <c r="D132" s="678">
        <f>IF($C$124="Group Loads","N/A",H132*$D$129)</f>
        <v>500</v>
      </c>
      <c r="E132" s="679">
        <f>IF($C$124="Group Loads","N/A",I132*$D$132)</f>
        <v>125</v>
      </c>
      <c r="F132" s="250"/>
      <c r="G132" s="648" t="s">
        <v>36</v>
      </c>
      <c r="H132" s="742">
        <v>0.5</v>
      </c>
      <c r="I132" s="743">
        <v>0.25</v>
      </c>
      <c r="J132" s="264"/>
      <c r="K132" s="253"/>
      <c r="L132" s="253"/>
    </row>
    <row r="133" spans="1:12" x14ac:dyDescent="0.2">
      <c r="A133" s="3"/>
      <c r="C133" s="649" t="s">
        <v>37</v>
      </c>
      <c r="D133" s="518">
        <f>IF($C$124="Group Loads","N/A",H133*$D$129)</f>
        <v>1000</v>
      </c>
      <c r="E133" s="531">
        <f>IF($C$124="Group Loads","N/A",I133*$D$133)</f>
        <v>200</v>
      </c>
      <c r="F133" s="250"/>
      <c r="G133" s="649" t="s">
        <v>37</v>
      </c>
      <c r="H133" s="744">
        <v>1</v>
      </c>
      <c r="I133" s="745">
        <v>0.2</v>
      </c>
      <c r="J133" s="264"/>
      <c r="K133" s="253"/>
      <c r="L133" s="253"/>
    </row>
    <row r="134" spans="1:12" ht="13.5" thickBot="1" x14ac:dyDescent="0.25">
      <c r="A134" s="3"/>
      <c r="B134" s="3"/>
      <c r="C134" s="650" t="s">
        <v>38</v>
      </c>
      <c r="D134" s="532">
        <f>IF($C$124="Group Loads","N/A",H134*$D$129)</f>
        <v>1000</v>
      </c>
      <c r="E134" s="680">
        <f>IF($C$124="Group Loads","N/A",I134*$D$134)</f>
        <v>200</v>
      </c>
      <c r="F134" s="3"/>
      <c r="G134" s="650" t="s">
        <v>38</v>
      </c>
      <c r="H134" s="746">
        <v>1</v>
      </c>
      <c r="I134" s="747">
        <v>0.2</v>
      </c>
      <c r="J134" s="264"/>
      <c r="K134" s="253"/>
      <c r="L134" s="253"/>
    </row>
    <row r="135" spans="1:12" x14ac:dyDescent="0.2">
      <c r="A135" s="3"/>
      <c r="B135" s="3"/>
      <c r="C135" s="143"/>
      <c r="D135" s="682"/>
      <c r="E135" s="682"/>
      <c r="F135" s="3"/>
      <c r="G135" s="3"/>
      <c r="H135" s="3"/>
      <c r="I135" s="3"/>
      <c r="J135" s="264"/>
      <c r="K135" s="253"/>
      <c r="L135" s="253"/>
    </row>
    <row r="136" spans="1:12" ht="13.5" thickBot="1" x14ac:dyDescent="0.25">
      <c r="A136" s="3"/>
      <c r="B136" s="677" t="s">
        <v>604</v>
      </c>
      <c r="C136" s="3"/>
      <c r="D136" s="3"/>
      <c r="E136" s="3"/>
      <c r="F136" s="18"/>
      <c r="G136" s="37"/>
      <c r="H136" s="3"/>
      <c r="I136" s="3"/>
      <c r="J136" s="264"/>
      <c r="K136" s="253"/>
      <c r="L136" s="253"/>
    </row>
    <row r="137" spans="1:12" ht="39" thickBot="1" x14ac:dyDescent="0.25">
      <c r="A137" s="3"/>
      <c r="B137" s="3"/>
      <c r="C137" s="645" t="s">
        <v>283</v>
      </c>
      <c r="D137" s="646" t="s">
        <v>605</v>
      </c>
      <c r="E137" s="647" t="s">
        <v>606</v>
      </c>
      <c r="F137" s="83"/>
      <c r="G137" s="83"/>
      <c r="H137" s="3"/>
      <c r="I137" s="3"/>
      <c r="J137" s="264"/>
      <c r="K137" s="253"/>
      <c r="L137" s="253"/>
    </row>
    <row r="138" spans="1:12" x14ac:dyDescent="0.2">
      <c r="A138" s="83"/>
      <c r="B138" s="83"/>
      <c r="C138" s="648" t="s">
        <v>36</v>
      </c>
      <c r="D138" s="678" t="str">
        <f>IF($C$124="Group Loads",Input!E24,"N/A")</f>
        <v>N/A</v>
      </c>
      <c r="E138" s="679" t="str">
        <f>IF($C$124="Group Loads",Input!F24,"N/A")</f>
        <v>N/A</v>
      </c>
      <c r="F138" s="249"/>
      <c r="G138" s="249"/>
      <c r="H138" s="3"/>
      <c r="I138" s="3"/>
      <c r="J138" s="264"/>
      <c r="K138" s="253"/>
      <c r="L138" s="253"/>
    </row>
    <row r="139" spans="1:12" x14ac:dyDescent="0.2">
      <c r="A139" s="83"/>
      <c r="B139" s="249"/>
      <c r="C139" s="649" t="s">
        <v>37</v>
      </c>
      <c r="D139" s="518" t="str">
        <f>IF($C$124="Group Loads",Input!E25,"N/A")</f>
        <v>N/A</v>
      </c>
      <c r="E139" s="531" t="str">
        <f>IF($C$124="Group Loads",Input!F25,"N/A")</f>
        <v>N/A</v>
      </c>
      <c r="F139" s="249"/>
      <c r="G139" s="249"/>
      <c r="H139" s="3"/>
      <c r="I139" s="3"/>
      <c r="J139" s="264"/>
      <c r="K139" s="253"/>
      <c r="L139" s="253"/>
    </row>
    <row r="140" spans="1:12" ht="13.5" thickBot="1" x14ac:dyDescent="0.25">
      <c r="A140" s="83"/>
      <c r="B140" s="249"/>
      <c r="C140" s="650" t="s">
        <v>38</v>
      </c>
      <c r="D140" s="532" t="str">
        <f>IF($C$124="Group Loads",Input!E26,"N/A")</f>
        <v>N/A</v>
      </c>
      <c r="E140" s="680" t="str">
        <f>IF($C$124="Group Loads",Input!F26,"N/A")</f>
        <v>N/A</v>
      </c>
      <c r="F140" s="249"/>
      <c r="G140" s="249"/>
      <c r="H140" s="3"/>
      <c r="I140" s="3"/>
      <c r="J140" s="264"/>
      <c r="K140" s="253"/>
      <c r="L140" s="253"/>
    </row>
    <row r="141" spans="1:12" x14ac:dyDescent="0.2">
      <c r="A141" s="83"/>
      <c r="B141" s="249"/>
      <c r="C141" s="249"/>
      <c r="D141" s="249"/>
      <c r="E141" s="249"/>
      <c r="F141" s="249"/>
      <c r="G141" s="249"/>
      <c r="H141" s="3"/>
      <c r="I141" s="3"/>
      <c r="J141" s="265"/>
      <c r="K141" s="265"/>
      <c r="L141" s="253"/>
    </row>
    <row r="142" spans="1:12" ht="13.5" thickBot="1" x14ac:dyDescent="0.25">
      <c r="A142" s="83"/>
      <c r="B142" s="681" t="s">
        <v>624</v>
      </c>
      <c r="C142" s="249"/>
      <c r="D142" s="674"/>
      <c r="E142" s="249"/>
      <c r="F142" s="249"/>
      <c r="G142" s="249"/>
      <c r="H142" s="3"/>
      <c r="I142" s="3"/>
      <c r="J142" s="45"/>
      <c r="K142" s="45"/>
      <c r="L142" s="253"/>
    </row>
    <row r="143" spans="1:12" ht="39" thickBot="1" x14ac:dyDescent="0.25">
      <c r="A143" s="3"/>
      <c r="B143" s="3"/>
      <c r="C143" s="645" t="s">
        <v>283</v>
      </c>
      <c r="D143" s="646" t="s">
        <v>605</v>
      </c>
      <c r="E143" s="647" t="s">
        <v>606</v>
      </c>
      <c r="F143" s="3"/>
      <c r="G143" s="3"/>
      <c r="I143" s="3"/>
      <c r="J143" s="212"/>
      <c r="K143" s="80"/>
      <c r="L143" s="253"/>
    </row>
    <row r="144" spans="1:12" x14ac:dyDescent="0.2">
      <c r="A144" s="3"/>
      <c r="B144" s="83"/>
      <c r="C144" s="648" t="s">
        <v>36</v>
      </c>
      <c r="D144" s="678">
        <f t="shared" ref="D144:E146" si="6">IF($C$124="Group Loads",D138,D132)</f>
        <v>500</v>
      </c>
      <c r="E144" s="679">
        <f t="shared" si="6"/>
        <v>125</v>
      </c>
      <c r="F144" s="83"/>
      <c r="G144" s="83"/>
      <c r="H144" s="721"/>
      <c r="I144" s="3"/>
      <c r="J144" s="212"/>
      <c r="K144" s="80"/>
      <c r="L144" s="253"/>
    </row>
    <row r="145" spans="1:12" x14ac:dyDescent="0.2">
      <c r="A145" s="83"/>
      <c r="B145" s="249"/>
      <c r="C145" s="649" t="s">
        <v>37</v>
      </c>
      <c r="D145" s="518">
        <f t="shared" si="6"/>
        <v>1000</v>
      </c>
      <c r="E145" s="531">
        <f t="shared" si="6"/>
        <v>200</v>
      </c>
      <c r="F145" s="249"/>
      <c r="G145" s="722"/>
      <c r="H145" s="722"/>
      <c r="I145" s="722"/>
      <c r="J145" s="722"/>
      <c r="K145" s="80"/>
      <c r="L145" s="253"/>
    </row>
    <row r="146" spans="1:12" ht="13.5" thickBot="1" x14ac:dyDescent="0.25">
      <c r="A146" s="83"/>
      <c r="B146" s="249"/>
      <c r="C146" s="650" t="s">
        <v>38</v>
      </c>
      <c r="D146" s="532">
        <f t="shared" si="6"/>
        <v>1000</v>
      </c>
      <c r="E146" s="680">
        <f t="shared" si="6"/>
        <v>200</v>
      </c>
      <c r="F146" s="249"/>
      <c r="G146" s="722"/>
      <c r="H146" s="722"/>
      <c r="I146" s="722"/>
      <c r="J146" s="722"/>
      <c r="K146" s="253"/>
      <c r="L146" s="253"/>
    </row>
    <row r="147" spans="1:12" ht="13.5" thickBot="1" x14ac:dyDescent="0.25">
      <c r="A147" s="83"/>
      <c r="B147" s="249"/>
      <c r="C147" s="143"/>
      <c r="D147" s="682"/>
      <c r="E147" s="682"/>
      <c r="F147" s="249"/>
      <c r="G147" s="722"/>
      <c r="H147" s="722"/>
      <c r="I147" s="722"/>
      <c r="J147" s="722"/>
      <c r="K147" s="253"/>
      <c r="L147" s="253"/>
    </row>
    <row r="148" spans="1:12" ht="13.5" thickBot="1" x14ac:dyDescent="0.25">
      <c r="B148" s="682"/>
      <c r="C148" s="874" t="s">
        <v>36</v>
      </c>
      <c r="D148" s="875"/>
      <c r="E148" s="875"/>
      <c r="F148" s="875"/>
      <c r="G148" s="876"/>
      <c r="K148" s="253"/>
      <c r="L148" s="253"/>
    </row>
    <row r="149" spans="1:12" ht="39" thickBot="1" x14ac:dyDescent="0.25">
      <c r="C149" s="333" t="s">
        <v>349</v>
      </c>
      <c r="D149" s="439" t="s">
        <v>101</v>
      </c>
      <c r="E149" s="459" t="s">
        <v>652</v>
      </c>
      <c r="F149" s="459" t="s">
        <v>625</v>
      </c>
      <c r="G149" s="440" t="s">
        <v>330</v>
      </c>
      <c r="K149" s="253"/>
      <c r="L149" s="253"/>
    </row>
    <row r="150" spans="1:12" ht="13.5" thickBot="1" x14ac:dyDescent="0.25">
      <c r="B150" s="2" t="s">
        <v>381</v>
      </c>
      <c r="C150" s="684">
        <f>E20</f>
        <v>0</v>
      </c>
      <c r="D150" s="685">
        <f>F20</f>
        <v>1.5</v>
      </c>
      <c r="E150" s="685">
        <f>G20</f>
        <v>11.5</v>
      </c>
      <c r="F150" s="685">
        <f>H20</f>
        <v>23</v>
      </c>
      <c r="G150" s="686">
        <f>I20</f>
        <v>24</v>
      </c>
      <c r="K150" s="253"/>
      <c r="L150" s="253"/>
    </row>
    <row r="151" spans="1:12" ht="15.75" x14ac:dyDescent="0.2">
      <c r="B151" s="2" t="s">
        <v>76</v>
      </c>
      <c r="C151" s="431">
        <f>$D$144</f>
        <v>500</v>
      </c>
      <c r="D151" s="346">
        <f>$D$144</f>
        <v>500</v>
      </c>
      <c r="E151" s="346">
        <f>$D$144</f>
        <v>500</v>
      </c>
      <c r="F151" s="346">
        <f>$D$144</f>
        <v>500</v>
      </c>
      <c r="G151" s="432">
        <v>0</v>
      </c>
      <c r="K151" s="253"/>
      <c r="L151" s="253"/>
    </row>
    <row r="152" spans="1:12" ht="15.75" x14ac:dyDescent="0.2">
      <c r="B152" s="2" t="s">
        <v>64</v>
      </c>
      <c r="C152" s="471">
        <f>($F$150-C150)*C151</f>
        <v>11500</v>
      </c>
      <c r="D152" s="355">
        <f>($F$150-D150)*D151</f>
        <v>10750</v>
      </c>
      <c r="E152" s="355">
        <f>($F$150-E150)*E151</f>
        <v>5750</v>
      </c>
      <c r="F152" s="355">
        <f>($F$150-F150)*F151</f>
        <v>0</v>
      </c>
      <c r="G152" s="470">
        <v>0</v>
      </c>
      <c r="K152" s="253"/>
      <c r="L152" s="253"/>
    </row>
    <row r="153" spans="1:12" ht="16.5" thickBot="1" x14ac:dyDescent="0.25">
      <c r="B153" s="2" t="s">
        <v>626</v>
      </c>
      <c r="C153" s="229">
        <f>$E$144</f>
        <v>125</v>
      </c>
      <c r="D153" s="300">
        <f>$E$144</f>
        <v>125</v>
      </c>
      <c r="E153" s="300">
        <f>$E$144</f>
        <v>125</v>
      </c>
      <c r="F153" s="300">
        <f>$E$144</f>
        <v>125</v>
      </c>
      <c r="G153" s="301">
        <v>0</v>
      </c>
      <c r="K153" s="253"/>
      <c r="L153" s="253"/>
    </row>
    <row r="154" spans="1:12" ht="13.5" thickBot="1" x14ac:dyDescent="0.25">
      <c r="K154" s="253"/>
      <c r="L154" s="253"/>
    </row>
    <row r="155" spans="1:12" ht="13.5" thickBot="1" x14ac:dyDescent="0.25">
      <c r="B155" s="682"/>
      <c r="C155" s="874" t="s">
        <v>37</v>
      </c>
      <c r="D155" s="875"/>
      <c r="E155" s="875"/>
      <c r="F155" s="875"/>
      <c r="G155" s="876"/>
      <c r="K155" s="253"/>
      <c r="L155" s="253"/>
    </row>
    <row r="156" spans="1:12" ht="39" thickBot="1" x14ac:dyDescent="0.25">
      <c r="C156" s="333" t="s">
        <v>349</v>
      </c>
      <c r="D156" s="439" t="s">
        <v>101</v>
      </c>
      <c r="E156" s="459" t="s">
        <v>652</v>
      </c>
      <c r="F156" s="459" t="s">
        <v>625</v>
      </c>
      <c r="G156" s="440" t="s">
        <v>330</v>
      </c>
      <c r="K156" s="253"/>
      <c r="L156" s="253"/>
    </row>
    <row r="157" spans="1:12" ht="13.5" thickBot="1" x14ac:dyDescent="0.25">
      <c r="B157" s="2" t="s">
        <v>381</v>
      </c>
      <c r="C157" s="687">
        <f>E20</f>
        <v>0</v>
      </c>
      <c r="D157" s="688">
        <f>F20</f>
        <v>1.5</v>
      </c>
      <c r="E157" s="688">
        <f>G20</f>
        <v>11.5</v>
      </c>
      <c r="F157" s="688">
        <f>H20</f>
        <v>23</v>
      </c>
      <c r="G157" s="689">
        <f>I20</f>
        <v>24</v>
      </c>
      <c r="K157" s="253"/>
      <c r="L157" s="253"/>
    </row>
    <row r="158" spans="1:12" ht="15.75" x14ac:dyDescent="0.2">
      <c r="B158" s="2" t="s">
        <v>76</v>
      </c>
      <c r="C158" s="431">
        <f>$D$145</f>
        <v>1000</v>
      </c>
      <c r="D158" s="346">
        <f>$D$145</f>
        <v>1000</v>
      </c>
      <c r="E158" s="346">
        <f>$D$145</f>
        <v>1000</v>
      </c>
      <c r="F158" s="346">
        <f>$D$145</f>
        <v>1000</v>
      </c>
      <c r="G158" s="432">
        <v>0</v>
      </c>
      <c r="K158" s="253"/>
      <c r="L158" s="253"/>
    </row>
    <row r="159" spans="1:12" ht="15.75" x14ac:dyDescent="0.2">
      <c r="B159" s="2" t="s">
        <v>64</v>
      </c>
      <c r="C159" s="471">
        <f>($F$157-C157)*C158</f>
        <v>23000</v>
      </c>
      <c r="D159" s="355">
        <f>($F$157-D157)*D158</f>
        <v>21500</v>
      </c>
      <c r="E159" s="355">
        <f>($F$157-E157)*E158</f>
        <v>11500</v>
      </c>
      <c r="F159" s="355">
        <f>($F$157-F157)*F158</f>
        <v>0</v>
      </c>
      <c r="G159" s="470">
        <v>0</v>
      </c>
      <c r="K159" s="253"/>
      <c r="L159" s="253"/>
    </row>
    <row r="160" spans="1:12" ht="16.5" thickBot="1" x14ac:dyDescent="0.25">
      <c r="B160" s="2" t="s">
        <v>626</v>
      </c>
      <c r="C160" s="229">
        <f>$E$145</f>
        <v>200</v>
      </c>
      <c r="D160" s="300">
        <f>$E$145</f>
        <v>200</v>
      </c>
      <c r="E160" s="300">
        <f>$E$145</f>
        <v>200</v>
      </c>
      <c r="F160" s="300">
        <f>$E$145</f>
        <v>200</v>
      </c>
      <c r="G160" s="301">
        <v>0</v>
      </c>
      <c r="K160" s="253"/>
      <c r="L160" s="253"/>
    </row>
    <row r="161" spans="1:44" ht="13.5" thickBot="1" x14ac:dyDescent="0.25">
      <c r="B161" s="2"/>
      <c r="C161" s="79"/>
      <c r="D161" s="79"/>
      <c r="E161" s="79"/>
      <c r="F161" s="79"/>
      <c r="G161" s="79"/>
      <c r="K161" s="253"/>
      <c r="L161" s="253"/>
    </row>
    <row r="162" spans="1:44" ht="13.5" thickBot="1" x14ac:dyDescent="0.25">
      <c r="B162" s="682"/>
      <c r="C162" s="874" t="s">
        <v>38</v>
      </c>
      <c r="D162" s="875"/>
      <c r="E162" s="875"/>
      <c r="F162" s="875"/>
      <c r="G162" s="876"/>
      <c r="K162" s="253"/>
      <c r="L162" s="253"/>
    </row>
    <row r="163" spans="1:44" ht="39" thickBot="1" x14ac:dyDescent="0.25">
      <c r="C163" s="333" t="s">
        <v>349</v>
      </c>
      <c r="D163" s="439" t="s">
        <v>101</v>
      </c>
      <c r="E163" s="459" t="s">
        <v>652</v>
      </c>
      <c r="F163" s="459" t="s">
        <v>625</v>
      </c>
      <c r="G163" s="440" t="s">
        <v>330</v>
      </c>
      <c r="K163" s="253"/>
      <c r="L163" s="253"/>
    </row>
    <row r="164" spans="1:44" ht="13.5" thickBot="1" x14ac:dyDescent="0.25">
      <c r="B164" s="2" t="s">
        <v>381</v>
      </c>
      <c r="C164" s="687">
        <f>E20</f>
        <v>0</v>
      </c>
      <c r="D164" s="688">
        <f>F20</f>
        <v>1.5</v>
      </c>
      <c r="E164" s="688">
        <f>G20</f>
        <v>11.5</v>
      </c>
      <c r="F164" s="688">
        <f>H20</f>
        <v>23</v>
      </c>
      <c r="G164" s="689">
        <f>I20</f>
        <v>24</v>
      </c>
      <c r="K164" s="253"/>
      <c r="L164" s="253"/>
    </row>
    <row r="165" spans="1:44" ht="15.75" x14ac:dyDescent="0.2">
      <c r="B165" s="2" t="s">
        <v>76</v>
      </c>
      <c r="C165" s="690">
        <f>$D$146</f>
        <v>1000</v>
      </c>
      <c r="D165" s="205">
        <f>$D$146</f>
        <v>1000</v>
      </c>
      <c r="E165" s="205">
        <f>$D$146</f>
        <v>1000</v>
      </c>
      <c r="F165" s="205">
        <f>$D$146</f>
        <v>1000</v>
      </c>
      <c r="G165" s="683">
        <v>0</v>
      </c>
      <c r="K165" s="253"/>
      <c r="L165" s="253"/>
    </row>
    <row r="166" spans="1:44" ht="15.75" x14ac:dyDescent="0.2">
      <c r="B166" s="2" t="s">
        <v>64</v>
      </c>
      <c r="C166" s="471">
        <f>($F$164-C164)*C165</f>
        <v>23000</v>
      </c>
      <c r="D166" s="355">
        <f>($F$164-D164)*D165</f>
        <v>21500</v>
      </c>
      <c r="E166" s="355">
        <f>($F$164-E164)*E165</f>
        <v>11500</v>
      </c>
      <c r="F166" s="355">
        <f>($F$164-F164)*F165</f>
        <v>0</v>
      </c>
      <c r="G166" s="470">
        <v>0</v>
      </c>
      <c r="K166" s="253"/>
      <c r="L166" s="253"/>
    </row>
    <row r="167" spans="1:44" ht="16.5" thickBot="1" x14ac:dyDescent="0.25">
      <c r="B167" s="2" t="s">
        <v>626</v>
      </c>
      <c r="C167" s="229">
        <f>$E$146</f>
        <v>200</v>
      </c>
      <c r="D167" s="300">
        <f>$E$146</f>
        <v>200</v>
      </c>
      <c r="E167" s="300">
        <f>$E$146</f>
        <v>200</v>
      </c>
      <c r="F167" s="300">
        <f>$E$146</f>
        <v>200</v>
      </c>
      <c r="G167" s="301">
        <v>0</v>
      </c>
      <c r="K167" s="253"/>
      <c r="L167" s="253"/>
    </row>
    <row r="168" spans="1:44" x14ac:dyDescent="0.2">
      <c r="A168" s="83"/>
      <c r="B168" s="249"/>
      <c r="C168" s="143"/>
      <c r="D168" s="682"/>
      <c r="E168" s="2"/>
      <c r="F168" s="79"/>
      <c r="G168" s="79"/>
      <c r="H168" s="79"/>
      <c r="I168" s="79"/>
      <c r="J168" s="79"/>
      <c r="K168" s="253"/>
      <c r="L168" s="253"/>
    </row>
    <row r="169" spans="1:44" x14ac:dyDescent="0.2">
      <c r="A169" s="63" t="s">
        <v>84</v>
      </c>
      <c r="O169" s="26"/>
      <c r="P169" s="26"/>
      <c r="Q169" s="26"/>
      <c r="R169" s="26"/>
      <c r="S169" s="26"/>
      <c r="T169" s="26"/>
    </row>
    <row r="170" spans="1:44" s="7" customFormat="1" ht="13.5" thickBot="1" x14ac:dyDescent="0.25">
      <c r="C170" s="242"/>
      <c r="D170" s="242"/>
      <c r="E170" s="242"/>
      <c r="F170" s="242"/>
      <c r="N170" s="37"/>
      <c r="O170" s="249"/>
      <c r="P170" s="249"/>
      <c r="Q170" s="249"/>
      <c r="R170" s="249"/>
      <c r="S170" s="249"/>
      <c r="T170" s="249"/>
      <c r="U170" s="1"/>
      <c r="V170" s="1"/>
      <c r="W170" s="1"/>
      <c r="Z170" s="37"/>
      <c r="AA170" s="245"/>
      <c r="AB170" s="245"/>
      <c r="AC170" s="245"/>
      <c r="AD170" s="245"/>
      <c r="AE170" s="245"/>
      <c r="AF170" s="245"/>
      <c r="AL170" s="37"/>
      <c r="AM170" s="245"/>
      <c r="AN170" s="245"/>
      <c r="AO170" s="245"/>
      <c r="AP170" s="245"/>
      <c r="AQ170" s="245"/>
      <c r="AR170" s="245"/>
    </row>
    <row r="171" spans="1:44" ht="39" thickBot="1" x14ac:dyDescent="0.25">
      <c r="B171" s="416" t="s">
        <v>324</v>
      </c>
      <c r="C171" s="417" t="s">
        <v>325</v>
      </c>
      <c r="D171" s="417" t="s">
        <v>326</v>
      </c>
      <c r="E171" s="417" t="s">
        <v>327</v>
      </c>
      <c r="F171" s="417" t="s">
        <v>328</v>
      </c>
      <c r="G171" s="418" t="s">
        <v>329</v>
      </c>
      <c r="N171" s="26"/>
      <c r="O171" s="26"/>
      <c r="P171" s="26"/>
      <c r="Q171" s="26"/>
      <c r="R171" s="26"/>
      <c r="S171" s="26"/>
    </row>
    <row r="172" spans="1:44" x14ac:dyDescent="0.2">
      <c r="A172" s="425" t="s">
        <v>85</v>
      </c>
      <c r="B172" s="389" t="str">
        <f>Input!E31</f>
        <v>None</v>
      </c>
      <c r="C172" s="407">
        <f>VLOOKUP(B172,'Pick List Data'!A2:D18,2,0)</f>
        <v>0</v>
      </c>
      <c r="D172" s="407">
        <f>VLOOKUP(B172,'Pick List Data'!A2:D18,3,0)</f>
        <v>0</v>
      </c>
      <c r="E172" s="408">
        <f>Input!F31</f>
        <v>0</v>
      </c>
      <c r="F172" s="407" t="s">
        <v>160</v>
      </c>
      <c r="G172" s="409">
        <f>VLOOKUP(B172,'Pick List Data'!A2:D18,4,0)</f>
        <v>0</v>
      </c>
      <c r="H172" s="10"/>
      <c r="I172" s="20"/>
      <c r="J172" s="20"/>
      <c r="K172" s="10"/>
      <c r="N172" s="26"/>
      <c r="O172" s="26"/>
      <c r="P172" s="26"/>
      <c r="Q172" s="26"/>
      <c r="R172" s="26"/>
      <c r="S172" s="26"/>
    </row>
    <row r="173" spans="1:44" x14ac:dyDescent="0.2">
      <c r="A173" s="426" t="s">
        <v>86</v>
      </c>
      <c r="B173" s="512" t="str">
        <f>Input!D32</f>
        <v>None</v>
      </c>
      <c r="C173" s="32">
        <f>VLOOKUP(B173,'Pick List Data'!A38:K55,2,0)</f>
        <v>0</v>
      </c>
      <c r="D173" s="32">
        <f>VLOOKUP(B173,'Pick List Data'!A38:K55,3,0)</f>
        <v>0</v>
      </c>
      <c r="E173" s="51">
        <f>Input!F32</f>
        <v>0</v>
      </c>
      <c r="F173" s="32" t="s">
        <v>160</v>
      </c>
      <c r="G173" s="378">
        <f>D173</f>
        <v>0</v>
      </c>
      <c r="H173" s="10"/>
      <c r="I173" s="20"/>
      <c r="J173" s="20"/>
      <c r="K173" s="10"/>
      <c r="N173" s="26"/>
      <c r="O173" s="26"/>
      <c r="P173" s="26"/>
      <c r="Q173" s="26"/>
      <c r="R173" s="26"/>
      <c r="S173" s="26"/>
    </row>
    <row r="174" spans="1:44" ht="13.5" thickBot="1" x14ac:dyDescent="0.25">
      <c r="A174" s="427" t="s">
        <v>87</v>
      </c>
      <c r="B174" s="513" t="str">
        <f>Input!D33</f>
        <v>No</v>
      </c>
      <c r="C174" s="411">
        <f>IF(B174="Yes",281,0)</f>
        <v>0</v>
      </c>
      <c r="D174" s="411">
        <f>IF(B174="Yes",10.625,0)</f>
        <v>0</v>
      </c>
      <c r="E174" s="412">
        <f>Input!F33</f>
        <v>0</v>
      </c>
      <c r="F174" s="411">
        <f>IF(B174="Yes",1.83,0)</f>
        <v>0</v>
      </c>
      <c r="G174" s="356">
        <f>IF(B174="Yes",45.96,0)</f>
        <v>0</v>
      </c>
      <c r="H174" s="10" t="s">
        <v>749</v>
      </c>
      <c r="I174" s="10"/>
      <c r="J174" s="10"/>
      <c r="K174" s="10"/>
      <c r="N174" s="26"/>
      <c r="O174" s="26"/>
      <c r="P174" s="26"/>
      <c r="Q174" s="26"/>
      <c r="R174" s="26"/>
      <c r="S174" s="26"/>
    </row>
    <row r="175" spans="1:44" x14ac:dyDescent="0.2">
      <c r="A175" s="33"/>
      <c r="B175" s="423"/>
      <c r="C175" s="33"/>
      <c r="D175" s="33"/>
      <c r="E175" s="424"/>
      <c r="F175" s="33"/>
      <c r="G175" s="419"/>
      <c r="H175" s="10"/>
      <c r="I175" s="10"/>
      <c r="J175" s="10"/>
      <c r="K175" s="10"/>
      <c r="L175" s="10"/>
      <c r="O175" s="26"/>
      <c r="P175" s="26"/>
      <c r="Q175" s="26"/>
      <c r="R175" s="26"/>
      <c r="S175" s="26"/>
      <c r="T175" s="26"/>
    </row>
    <row r="176" spans="1:44" x14ac:dyDescent="0.2">
      <c r="A176" s="422" t="s">
        <v>393</v>
      </c>
      <c r="B176" s="2"/>
      <c r="C176" s="3"/>
      <c r="D176" s="3"/>
      <c r="E176" s="3"/>
      <c r="F176" s="10"/>
      <c r="G176" s="10"/>
      <c r="H176" s="10"/>
      <c r="I176" s="10"/>
      <c r="J176" s="10"/>
      <c r="K176" s="10"/>
      <c r="O176" s="26"/>
      <c r="P176" s="26"/>
      <c r="Q176" s="26"/>
      <c r="R176" s="26"/>
      <c r="S176" s="26"/>
      <c r="T176" s="26"/>
    </row>
    <row r="177" spans="1:24" x14ac:dyDescent="0.2">
      <c r="B177" s="2"/>
      <c r="C177" s="10" t="s">
        <v>88</v>
      </c>
      <c r="D177" s="3"/>
      <c r="E177" s="3"/>
      <c r="F177" s="10"/>
      <c r="G177" s="10"/>
      <c r="H177" s="10"/>
      <c r="I177" s="10"/>
      <c r="J177" s="10"/>
      <c r="K177" s="10"/>
      <c r="O177" s="26"/>
      <c r="P177" s="26"/>
      <c r="Q177" s="26"/>
      <c r="R177" s="26"/>
      <c r="S177" s="26"/>
      <c r="T177" s="26"/>
    </row>
    <row r="178" spans="1:24" x14ac:dyDescent="0.2">
      <c r="A178" s="36"/>
      <c r="B178" s="2"/>
      <c r="C178" s="10"/>
      <c r="D178" s="3"/>
      <c r="E178" s="3"/>
      <c r="F178" s="10"/>
      <c r="G178" s="10"/>
      <c r="H178" s="10"/>
      <c r="I178" s="10"/>
      <c r="J178" s="10"/>
      <c r="K178" s="10"/>
      <c r="O178" s="26"/>
      <c r="P178" s="26"/>
      <c r="Q178" s="26"/>
      <c r="R178" s="26"/>
      <c r="S178" s="26"/>
      <c r="T178" s="26"/>
    </row>
    <row r="179" spans="1:24" ht="15.75" customHeight="1" x14ac:dyDescent="0.2">
      <c r="A179" s="10"/>
      <c r="B179" s="2" t="s">
        <v>89</v>
      </c>
      <c r="C179" s="406">
        <f>SUM(C172:C174)</f>
        <v>0</v>
      </c>
      <c r="D179" s="10" t="s">
        <v>77</v>
      </c>
      <c r="E179" s="10"/>
      <c r="F179" s="10"/>
      <c r="G179" s="10"/>
      <c r="H179" s="10"/>
      <c r="I179" s="10"/>
      <c r="J179" s="10"/>
      <c r="K179" s="10"/>
      <c r="O179" s="26"/>
      <c r="P179" s="26"/>
      <c r="Q179" s="26"/>
      <c r="R179" s="26"/>
      <c r="S179" s="26"/>
      <c r="T179" s="26"/>
    </row>
    <row r="180" spans="1:24" ht="12.75" customHeight="1" x14ac:dyDescent="0.2">
      <c r="A180" s="422" t="s">
        <v>389</v>
      </c>
      <c r="B180" s="10"/>
      <c r="C180" s="10"/>
      <c r="D180" s="10"/>
      <c r="E180" s="10"/>
      <c r="F180" s="10"/>
      <c r="G180" s="10"/>
      <c r="H180" s="10"/>
      <c r="I180" s="10"/>
      <c r="J180" s="10"/>
      <c r="K180" s="10"/>
      <c r="O180" s="26"/>
      <c r="P180" s="26"/>
      <c r="Q180" s="26"/>
      <c r="R180" s="26"/>
      <c r="S180" s="26"/>
      <c r="T180" s="26"/>
    </row>
    <row r="181" spans="1:24" ht="15.75" customHeight="1" thickBot="1" x14ac:dyDescent="0.25">
      <c r="C181" s="10" t="s">
        <v>460</v>
      </c>
      <c r="O181" s="26"/>
      <c r="P181" s="26"/>
      <c r="Q181" s="26"/>
      <c r="R181" s="26"/>
      <c r="S181" s="26"/>
      <c r="T181" s="26"/>
    </row>
    <row r="182" spans="1:24" ht="43.5" customHeight="1" thickBot="1" x14ac:dyDescent="0.25">
      <c r="C182" s="416" t="s">
        <v>384</v>
      </c>
      <c r="D182" s="393" t="s">
        <v>385</v>
      </c>
      <c r="E182" s="417" t="s">
        <v>750</v>
      </c>
      <c r="F182" s="417" t="s">
        <v>461</v>
      </c>
      <c r="G182" s="417" t="s">
        <v>386</v>
      </c>
      <c r="H182" s="418" t="s">
        <v>387</v>
      </c>
      <c r="I182" s="889" t="s">
        <v>751</v>
      </c>
      <c r="J182" s="890"/>
      <c r="K182" s="20"/>
      <c r="L182" s="20"/>
      <c r="O182" s="26"/>
      <c r="P182" s="26"/>
      <c r="Q182" s="26"/>
      <c r="R182" s="26"/>
      <c r="S182" s="26"/>
      <c r="T182" s="26"/>
    </row>
    <row r="183" spans="1:24" x14ac:dyDescent="0.2">
      <c r="B183" s="2" t="s">
        <v>85</v>
      </c>
      <c r="C183" s="413">
        <f>A14</f>
        <v>80</v>
      </c>
      <c r="D183" s="549">
        <f>1.2*0.8</f>
        <v>0.96</v>
      </c>
      <c r="E183" s="414">
        <f>IF(0.00256*(1.3*C183)^2*D183&gt;25,0.00256*(1.3*C183)^2*D183,25)</f>
        <v>26.5814016</v>
      </c>
      <c r="F183" s="415">
        <f t="shared" ref="F183:G185" si="7">E183*D172</f>
        <v>0</v>
      </c>
      <c r="G183" s="398">
        <f t="shared" si="7"/>
        <v>0</v>
      </c>
      <c r="H183" s="399">
        <f>F183*(E172-$F$20)</f>
        <v>0</v>
      </c>
      <c r="O183" s="26"/>
      <c r="P183" s="26"/>
      <c r="Q183" s="26"/>
      <c r="R183" s="26"/>
      <c r="S183" s="26"/>
      <c r="T183" s="26"/>
    </row>
    <row r="184" spans="1:24" x14ac:dyDescent="0.2">
      <c r="B184" s="2" t="s">
        <v>86</v>
      </c>
      <c r="C184" s="377">
        <f>A14</f>
        <v>80</v>
      </c>
      <c r="D184" s="371">
        <f>VLOOKUP(B173,'Pick List Data'!A38:K55,4,0)*0.8</f>
        <v>0</v>
      </c>
      <c r="E184" s="367">
        <f>IF(0.00256*(1.3*C184)^2*D184&gt;25,0.00256*(1.3*C184)^2*D184,25)</f>
        <v>25</v>
      </c>
      <c r="F184" s="546">
        <f t="shared" si="7"/>
        <v>0</v>
      </c>
      <c r="G184" s="547">
        <f t="shared" si="7"/>
        <v>0</v>
      </c>
      <c r="H184" s="548">
        <f>F184*(E173-$F$20)</f>
        <v>0</v>
      </c>
      <c r="I184" s="887"/>
      <c r="J184" s="888"/>
      <c r="K184" s="888"/>
      <c r="O184" s="26"/>
      <c r="P184" s="26"/>
      <c r="Q184" s="26"/>
      <c r="R184" s="26"/>
      <c r="S184" s="26"/>
      <c r="T184" s="26"/>
    </row>
    <row r="185" spans="1:24" ht="15.75" customHeight="1" thickBot="1" x14ac:dyDescent="0.25">
      <c r="B185" s="2" t="s">
        <v>87</v>
      </c>
      <c r="C185" s="219">
        <f>A14</f>
        <v>80</v>
      </c>
      <c r="D185" s="349">
        <f>1.25*0.8</f>
        <v>1</v>
      </c>
      <c r="E185" s="404">
        <f>IF(0.00256*(1.3*C185)^2*D185&gt;25,0.00256*(1.3*C185)^2*D185,25)</f>
        <v>27.688960000000002</v>
      </c>
      <c r="F185" s="405">
        <f t="shared" si="7"/>
        <v>0</v>
      </c>
      <c r="G185" s="396">
        <f t="shared" si="7"/>
        <v>0</v>
      </c>
      <c r="H185" s="397">
        <f>F185*(E174-$F$20)</f>
        <v>0</v>
      </c>
      <c r="I185" s="246"/>
      <c r="J185" s="246"/>
      <c r="K185" s="246"/>
      <c r="O185" s="26"/>
      <c r="P185" s="26"/>
      <c r="Q185" s="26"/>
      <c r="R185" s="26"/>
      <c r="S185" s="26"/>
      <c r="T185" s="26"/>
    </row>
    <row r="186" spans="1:24" ht="13.5" thickBot="1" x14ac:dyDescent="0.25">
      <c r="F186" s="400">
        <f>SUM(F183:F185)</f>
        <v>0</v>
      </c>
      <c r="G186" s="401">
        <f>SUM(G183:G185)</f>
        <v>0</v>
      </c>
      <c r="H186" s="402">
        <f>SUM(H183:H185)</f>
        <v>0</v>
      </c>
      <c r="O186" s="26"/>
      <c r="P186" s="26"/>
      <c r="Q186" s="26"/>
      <c r="R186" s="26"/>
      <c r="S186" s="26"/>
      <c r="T186" s="26"/>
    </row>
    <row r="187" spans="1:24" s="26" customFormat="1" x14ac:dyDescent="0.2">
      <c r="A187" s="422" t="s">
        <v>392</v>
      </c>
      <c r="E187" s="80"/>
      <c r="F187" s="80"/>
    </row>
    <row r="188" spans="1:24" x14ac:dyDescent="0.2">
      <c r="C188" s="10" t="s">
        <v>88</v>
      </c>
      <c r="O188" s="26"/>
      <c r="P188" s="26"/>
      <c r="Q188" s="26"/>
      <c r="R188" s="26"/>
      <c r="S188" s="26"/>
      <c r="T188" s="26"/>
    </row>
    <row r="189" spans="1:24" ht="15.75" x14ac:dyDescent="0.2">
      <c r="B189" s="10" t="s">
        <v>89</v>
      </c>
      <c r="C189" s="38">
        <f>A13*(SUM(G172:G174))</f>
        <v>0</v>
      </c>
      <c r="D189" s="10" t="s">
        <v>77</v>
      </c>
      <c r="O189" s="26"/>
      <c r="P189" s="26"/>
      <c r="Q189" s="26"/>
      <c r="R189" s="26"/>
      <c r="S189" s="26"/>
      <c r="T189" s="26"/>
    </row>
    <row r="190" spans="1:24" ht="15.75" customHeight="1" x14ac:dyDescent="0.2">
      <c r="O190" s="26"/>
      <c r="P190" s="26"/>
      <c r="Q190" s="26"/>
      <c r="R190" s="26"/>
      <c r="S190" s="26"/>
      <c r="T190" s="26"/>
    </row>
    <row r="191" spans="1:24" ht="15.75" x14ac:dyDescent="0.2">
      <c r="A191" s="325" t="s">
        <v>651</v>
      </c>
      <c r="B191" s="10"/>
      <c r="C191" s="10"/>
      <c r="D191" s="10"/>
      <c r="E191" s="10"/>
      <c r="F191" s="10"/>
      <c r="G191" s="10"/>
      <c r="N191" s="89"/>
      <c r="O191" s="264"/>
      <c r="P191" s="264"/>
      <c r="Q191" s="264"/>
      <c r="R191" s="264"/>
      <c r="S191" s="264"/>
      <c r="T191" s="264"/>
      <c r="U191" s="3"/>
      <c r="V191" s="3"/>
      <c r="W191" s="3"/>
      <c r="X191" s="3"/>
    </row>
    <row r="192" spans="1:24" x14ac:dyDescent="0.2">
      <c r="A192" s="14"/>
      <c r="B192" s="10"/>
      <c r="C192" s="10"/>
      <c r="D192" s="10"/>
      <c r="E192" s="10"/>
      <c r="F192" s="10"/>
      <c r="G192" s="10"/>
      <c r="H192" s="3" t="s">
        <v>28</v>
      </c>
      <c r="I192" s="10"/>
      <c r="J192" s="10"/>
      <c r="N192" s="89"/>
      <c r="O192" s="264"/>
      <c r="P192" s="264"/>
      <c r="Q192" s="264"/>
      <c r="R192" s="264"/>
      <c r="S192" s="264"/>
      <c r="T192" s="264"/>
      <c r="U192" s="3"/>
      <c r="V192" s="3"/>
      <c r="W192" s="3"/>
      <c r="X192" s="3"/>
    </row>
    <row r="193" spans="1:24" x14ac:dyDescent="0.2">
      <c r="A193" s="14"/>
      <c r="B193" s="10"/>
      <c r="C193" s="10"/>
      <c r="D193" s="10"/>
      <c r="E193" s="10"/>
      <c r="F193" s="10"/>
      <c r="G193" s="10"/>
      <c r="H193" s="3" t="s">
        <v>29</v>
      </c>
      <c r="I193" s="10"/>
      <c r="J193" s="10"/>
      <c r="N193" s="89"/>
      <c r="O193" s="264"/>
      <c r="P193" s="264"/>
      <c r="Q193" s="264"/>
      <c r="R193" s="264"/>
      <c r="S193" s="264"/>
      <c r="T193" s="264"/>
      <c r="U193" s="3"/>
      <c r="V193" s="3"/>
      <c r="W193" s="3"/>
      <c r="X193" s="3"/>
    </row>
    <row r="194" spans="1:24" s="26" customFormat="1" ht="12.75" customHeight="1" x14ac:dyDescent="0.2">
      <c r="A194" s="270"/>
      <c r="B194" s="22"/>
      <c r="C194" s="22"/>
      <c r="D194" s="22"/>
      <c r="E194" s="22"/>
      <c r="F194" s="22"/>
      <c r="G194" s="22"/>
      <c r="H194" s="3" t="s">
        <v>30</v>
      </c>
      <c r="I194" s="10"/>
      <c r="J194" s="10"/>
      <c r="N194" s="263"/>
      <c r="O194" s="264"/>
      <c r="P194" s="264"/>
      <c r="Q194" s="264"/>
      <c r="R194" s="264"/>
      <c r="S194" s="264"/>
      <c r="T194" s="264"/>
      <c r="U194" s="264"/>
      <c r="V194" s="264"/>
      <c r="W194" s="264"/>
      <c r="X194" s="264"/>
    </row>
    <row r="195" spans="1:24" s="26" customFormat="1" ht="26.25" customHeight="1" x14ac:dyDescent="0.2">
      <c r="A195" s="270"/>
      <c r="B195" s="22"/>
      <c r="C195" s="22"/>
      <c r="D195" s="22"/>
      <c r="E195" s="22"/>
      <c r="F195" s="22"/>
      <c r="G195" s="22"/>
      <c r="H195" s="884" t="s">
        <v>32</v>
      </c>
      <c r="I195" s="884"/>
      <c r="J195" s="884"/>
      <c r="N195" s="263"/>
      <c r="O195" s="264"/>
      <c r="P195" s="264"/>
      <c r="Q195" s="264"/>
      <c r="R195" s="264"/>
      <c r="S195" s="264"/>
      <c r="T195" s="264"/>
      <c r="U195" s="264"/>
      <c r="V195" s="264"/>
      <c r="W195" s="264"/>
      <c r="X195" s="264"/>
    </row>
    <row r="196" spans="1:24" s="26" customFormat="1" x14ac:dyDescent="0.2">
      <c r="A196" s="261"/>
      <c r="B196" s="22"/>
      <c r="C196" s="22"/>
      <c r="D196" s="22"/>
      <c r="E196" s="22"/>
      <c r="F196" s="22"/>
      <c r="G196" s="22"/>
      <c r="H196" s="22"/>
      <c r="I196" s="269"/>
      <c r="J196" s="269"/>
      <c r="N196" s="263"/>
      <c r="O196" s="264"/>
      <c r="P196" s="264"/>
      <c r="Q196" s="264"/>
      <c r="R196" s="264"/>
      <c r="S196" s="264"/>
      <c r="T196" s="264"/>
      <c r="U196" s="264"/>
      <c r="V196" s="264"/>
      <c r="W196" s="264"/>
      <c r="X196" s="264"/>
    </row>
    <row r="197" spans="1:24" s="26" customFormat="1" ht="13.5" thickBot="1" x14ac:dyDescent="0.25">
      <c r="A197" s="270" t="s">
        <v>650</v>
      </c>
      <c r="C197" s="22"/>
      <c r="D197" s="22"/>
      <c r="E197" s="22"/>
      <c r="F197" s="22"/>
      <c r="G197" s="22"/>
      <c r="H197" s="22"/>
      <c r="I197" s="22"/>
      <c r="N197" s="263"/>
      <c r="O197" s="264"/>
      <c r="P197" s="264"/>
      <c r="Q197" s="264"/>
      <c r="R197" s="264"/>
      <c r="S197" s="264"/>
      <c r="T197" s="264"/>
      <c r="U197" s="264"/>
      <c r="V197" s="264"/>
      <c r="W197" s="264"/>
      <c r="X197" s="264"/>
    </row>
    <row r="198" spans="1:24" s="26" customFormat="1" ht="26.25" thickBot="1" x14ac:dyDescent="0.25">
      <c r="C198" s="271" t="s">
        <v>282</v>
      </c>
      <c r="D198" s="272" t="s">
        <v>338</v>
      </c>
      <c r="E198" s="273" t="s">
        <v>333</v>
      </c>
      <c r="F198" s="273" t="s">
        <v>334</v>
      </c>
      <c r="G198" s="273" t="s">
        <v>335</v>
      </c>
      <c r="H198" s="273" t="s">
        <v>337</v>
      </c>
      <c r="I198" s="274" t="s">
        <v>336</v>
      </c>
      <c r="J198" s="269"/>
      <c r="K198" s="269"/>
      <c r="N198" s="263"/>
      <c r="O198" s="264"/>
      <c r="P198" s="264"/>
      <c r="Q198" s="264"/>
      <c r="R198" s="264"/>
      <c r="S198" s="264"/>
      <c r="T198" s="264"/>
      <c r="U198" s="264"/>
      <c r="V198" s="264"/>
      <c r="W198" s="264"/>
      <c r="X198" s="264"/>
    </row>
    <row r="199" spans="1:24" s="26" customFormat="1" x14ac:dyDescent="0.2">
      <c r="B199" s="894" t="s">
        <v>332</v>
      </c>
      <c r="C199" s="275" t="s">
        <v>31</v>
      </c>
      <c r="D199" s="276">
        <v>0</v>
      </c>
      <c r="E199" s="252">
        <f>I67</f>
        <v>8.0955486111111075</v>
      </c>
      <c r="F199" s="252">
        <v>0</v>
      </c>
      <c r="G199" s="252">
        <v>0</v>
      </c>
      <c r="H199" s="252">
        <v>0</v>
      </c>
      <c r="I199" s="277">
        <v>0</v>
      </c>
      <c r="K199" s="22"/>
      <c r="N199" s="263"/>
      <c r="O199" s="264"/>
      <c r="P199" s="264"/>
      <c r="Q199" s="264"/>
      <c r="R199" s="264"/>
      <c r="S199" s="264"/>
      <c r="T199" s="264"/>
      <c r="U199" s="264"/>
      <c r="V199" s="264"/>
      <c r="W199" s="264"/>
      <c r="X199" s="264"/>
    </row>
    <row r="200" spans="1:24" s="26" customFormat="1" x14ac:dyDescent="0.2">
      <c r="B200" s="895"/>
      <c r="C200" s="278" t="s">
        <v>33</v>
      </c>
      <c r="D200" s="279">
        <v>0</v>
      </c>
      <c r="E200" s="262">
        <v>0</v>
      </c>
      <c r="F200" s="280">
        <f>I80</f>
        <v>10.734177091808931</v>
      </c>
      <c r="G200" s="262">
        <f>I81</f>
        <v>128.8101251017074</v>
      </c>
      <c r="H200" s="262">
        <v>0</v>
      </c>
      <c r="I200" s="281">
        <v>0</v>
      </c>
      <c r="J200" s="264"/>
      <c r="K200" s="22"/>
      <c r="N200" s="263"/>
      <c r="O200" s="264"/>
      <c r="P200" s="264"/>
      <c r="Q200" s="264"/>
      <c r="R200" s="264"/>
      <c r="S200" s="264"/>
      <c r="T200" s="264"/>
      <c r="U200" s="264"/>
      <c r="V200" s="264"/>
      <c r="W200" s="264"/>
      <c r="X200" s="264"/>
    </row>
    <row r="201" spans="1:24" s="26" customFormat="1" x14ac:dyDescent="0.2">
      <c r="B201" s="895"/>
      <c r="C201" s="278" t="s">
        <v>34</v>
      </c>
      <c r="D201" s="279">
        <v>0</v>
      </c>
      <c r="E201" s="262">
        <v>0</v>
      </c>
      <c r="F201" s="280">
        <f>I82</f>
        <v>10.734177091808931</v>
      </c>
      <c r="G201" s="262">
        <f>I83</f>
        <v>128.8101251017074</v>
      </c>
      <c r="H201" s="262">
        <v>0</v>
      </c>
      <c r="I201" s="281">
        <v>0</v>
      </c>
      <c r="J201" s="264"/>
      <c r="K201" s="22"/>
      <c r="N201" s="263"/>
      <c r="O201" s="264"/>
      <c r="P201" s="264"/>
      <c r="Q201" s="264"/>
      <c r="R201" s="264"/>
      <c r="S201" s="264"/>
      <c r="T201" s="264"/>
      <c r="U201" s="264"/>
      <c r="V201" s="264"/>
      <c r="W201" s="264"/>
      <c r="X201" s="264"/>
    </row>
    <row r="202" spans="1:24" s="26" customFormat="1" ht="13.5" thickBot="1" x14ac:dyDescent="0.25">
      <c r="B202" s="895"/>
      <c r="C202" s="278" t="s">
        <v>35</v>
      </c>
      <c r="D202" s="279">
        <v>0</v>
      </c>
      <c r="E202" s="262">
        <f>I88</f>
        <v>2.5803507231117111</v>
      </c>
      <c r="F202" s="280">
        <v>0</v>
      </c>
      <c r="G202" s="262">
        <v>0</v>
      </c>
      <c r="H202" s="262">
        <v>0</v>
      </c>
      <c r="I202" s="281">
        <v>0</v>
      </c>
      <c r="J202" s="264"/>
      <c r="K202" s="22"/>
      <c r="N202" s="263"/>
      <c r="O202" s="264"/>
      <c r="P202" s="264"/>
      <c r="Q202" s="264"/>
      <c r="R202" s="264"/>
      <c r="S202" s="264"/>
      <c r="T202" s="264"/>
      <c r="U202" s="264"/>
      <c r="V202" s="264"/>
      <c r="W202" s="264"/>
      <c r="X202" s="264"/>
    </row>
    <row r="203" spans="1:24" s="26" customFormat="1" x14ac:dyDescent="0.2">
      <c r="B203" s="885" t="s">
        <v>331</v>
      </c>
      <c r="C203" s="275" t="s">
        <v>31</v>
      </c>
      <c r="D203" s="276">
        <v>0</v>
      </c>
      <c r="E203" s="252">
        <f>I97</f>
        <v>0</v>
      </c>
      <c r="F203" s="252">
        <v>0</v>
      </c>
      <c r="G203" s="252">
        <f>I98</f>
        <v>0</v>
      </c>
      <c r="H203" s="252">
        <v>0</v>
      </c>
      <c r="I203" s="277">
        <v>0</v>
      </c>
      <c r="J203" s="264"/>
      <c r="K203" s="22"/>
      <c r="N203" s="263"/>
      <c r="O203" s="264"/>
      <c r="P203" s="264"/>
      <c r="Q203" s="264"/>
      <c r="R203" s="264"/>
      <c r="S203" s="264"/>
      <c r="T203" s="264"/>
      <c r="U203" s="264"/>
      <c r="V203" s="264"/>
      <c r="W203" s="264"/>
      <c r="X203" s="264"/>
    </row>
    <row r="204" spans="1:24" s="26" customFormat="1" x14ac:dyDescent="0.2">
      <c r="B204" s="886"/>
      <c r="C204" s="278" t="s">
        <v>33</v>
      </c>
      <c r="D204" s="285">
        <v>0</v>
      </c>
      <c r="E204" s="262">
        <v>0</v>
      </c>
      <c r="F204" s="262">
        <f>I110</f>
        <v>0</v>
      </c>
      <c r="G204" s="262">
        <f>I111</f>
        <v>0</v>
      </c>
      <c r="H204" s="262">
        <f>I112</f>
        <v>0</v>
      </c>
      <c r="I204" s="281">
        <v>0</v>
      </c>
      <c r="J204" s="264"/>
      <c r="K204" s="22"/>
      <c r="N204" s="263"/>
      <c r="O204" s="264"/>
      <c r="P204" s="264"/>
      <c r="Q204" s="264"/>
      <c r="R204" s="264"/>
      <c r="S204" s="264"/>
      <c r="T204" s="264"/>
      <c r="U204" s="264"/>
      <c r="V204" s="264"/>
      <c r="W204" s="264"/>
      <c r="X204" s="264"/>
    </row>
    <row r="205" spans="1:24" s="26" customFormat="1" x14ac:dyDescent="0.2">
      <c r="B205" s="886"/>
      <c r="C205" s="278" t="s">
        <v>34</v>
      </c>
      <c r="D205" s="285">
        <v>0</v>
      </c>
      <c r="E205" s="262">
        <v>0</v>
      </c>
      <c r="F205" s="262">
        <f>I113</f>
        <v>0</v>
      </c>
      <c r="G205" s="262">
        <f>I114</f>
        <v>0</v>
      </c>
      <c r="H205" s="262">
        <f>I115</f>
        <v>0</v>
      </c>
      <c r="I205" s="281">
        <v>0</v>
      </c>
      <c r="J205" s="264"/>
      <c r="K205" s="22"/>
      <c r="N205" s="263"/>
      <c r="O205" s="264"/>
      <c r="P205" s="264"/>
      <c r="Q205" s="264"/>
      <c r="R205" s="264"/>
      <c r="S205" s="264"/>
      <c r="T205" s="264"/>
      <c r="U205" s="264"/>
      <c r="V205" s="264"/>
      <c r="W205" s="264"/>
      <c r="X205" s="264"/>
    </row>
    <row r="206" spans="1:24" s="26" customFormat="1" ht="13.5" thickBot="1" x14ac:dyDescent="0.25">
      <c r="B206" s="899"/>
      <c r="C206" s="282" t="s">
        <v>35</v>
      </c>
      <c r="D206" s="286">
        <v>0</v>
      </c>
      <c r="E206" s="283">
        <f>I119</f>
        <v>0</v>
      </c>
      <c r="F206" s="283">
        <v>0</v>
      </c>
      <c r="G206" s="283">
        <f>I120</f>
        <v>0</v>
      </c>
      <c r="H206" s="283">
        <v>0</v>
      </c>
      <c r="I206" s="284">
        <v>0</v>
      </c>
      <c r="J206" s="264"/>
      <c r="K206" s="22"/>
      <c r="N206" s="263"/>
      <c r="O206" s="264"/>
      <c r="P206" s="264"/>
      <c r="Q206" s="264"/>
      <c r="R206" s="264"/>
      <c r="S206" s="264"/>
      <c r="T206" s="264"/>
      <c r="U206" s="264"/>
      <c r="V206" s="264"/>
      <c r="W206" s="264"/>
      <c r="X206" s="264"/>
    </row>
    <row r="207" spans="1:24" s="26" customFormat="1" x14ac:dyDescent="0.2">
      <c r="B207" s="261"/>
      <c r="C207" s="22"/>
      <c r="D207" s="22"/>
      <c r="E207" s="22"/>
      <c r="F207" s="22"/>
      <c r="G207" s="22"/>
      <c r="H207" s="22"/>
      <c r="I207" s="22"/>
      <c r="J207" s="264"/>
      <c r="K207" s="22"/>
      <c r="N207" s="263"/>
      <c r="O207" s="264"/>
      <c r="P207" s="264"/>
      <c r="Q207" s="264"/>
      <c r="R207" s="264"/>
      <c r="S207" s="264"/>
      <c r="T207" s="264"/>
      <c r="U207" s="264"/>
      <c r="V207" s="264"/>
      <c r="W207" s="264"/>
      <c r="X207" s="264"/>
    </row>
    <row r="208" spans="1:24" s="26" customFormat="1" ht="13.5" thickBot="1" x14ac:dyDescent="0.25">
      <c r="B208" s="261" t="s">
        <v>627</v>
      </c>
      <c r="C208" s="22"/>
      <c r="D208" s="22"/>
      <c r="E208" s="22"/>
      <c r="F208" s="22"/>
      <c r="G208" s="22"/>
      <c r="H208" s="22"/>
      <c r="I208" s="22"/>
      <c r="N208" s="263"/>
      <c r="O208" s="264"/>
      <c r="P208" s="264"/>
      <c r="Q208" s="264"/>
      <c r="R208" s="264"/>
      <c r="S208" s="264"/>
      <c r="T208" s="264"/>
      <c r="U208" s="264"/>
      <c r="V208" s="253"/>
      <c r="W208" s="253"/>
      <c r="X208" s="253"/>
    </row>
    <row r="209" spans="1:24" s="26" customFormat="1" ht="26.25" thickBot="1" x14ac:dyDescent="0.25">
      <c r="B209" s="264"/>
      <c r="C209" s="287" t="s">
        <v>338</v>
      </c>
      <c r="D209" s="288" t="s">
        <v>333</v>
      </c>
      <c r="E209" s="288" t="s">
        <v>334</v>
      </c>
      <c r="F209" s="288" t="s">
        <v>335</v>
      </c>
      <c r="G209" s="288" t="s">
        <v>337</v>
      </c>
      <c r="H209" s="289" t="s">
        <v>336</v>
      </c>
      <c r="I209" s="22"/>
      <c r="K209" s="264"/>
      <c r="N209" s="264"/>
      <c r="O209" s="265"/>
      <c r="P209" s="265"/>
      <c r="Q209" s="265"/>
      <c r="R209" s="45"/>
      <c r="S209" s="45"/>
      <c r="T209" s="45"/>
      <c r="U209" s="264"/>
      <c r="V209" s="253"/>
      <c r="W209" s="264"/>
      <c r="X209" s="264"/>
    </row>
    <row r="210" spans="1:24" s="26" customFormat="1" x14ac:dyDescent="0.2">
      <c r="B210" s="275" t="s">
        <v>31</v>
      </c>
      <c r="C210" s="290">
        <f t="shared" ref="C210:H213" si="8">SUM(D199,D203)</f>
        <v>0</v>
      </c>
      <c r="D210" s="291">
        <f t="shared" si="8"/>
        <v>8.0955486111111075</v>
      </c>
      <c r="E210" s="291">
        <f t="shared" si="8"/>
        <v>0</v>
      </c>
      <c r="F210" s="291">
        <f t="shared" si="8"/>
        <v>0</v>
      </c>
      <c r="G210" s="291">
        <f t="shared" si="8"/>
        <v>0</v>
      </c>
      <c r="H210" s="292">
        <f t="shared" si="8"/>
        <v>0</v>
      </c>
      <c r="I210" s="22"/>
      <c r="N210" s="264"/>
      <c r="O210" s="212"/>
      <c r="P210" s="212"/>
      <c r="Q210" s="212"/>
      <c r="R210" s="212"/>
      <c r="S210" s="293"/>
      <c r="T210" s="293"/>
      <c r="U210" s="264"/>
      <c r="V210" s="884"/>
      <c r="W210" s="884"/>
      <c r="X210" s="884"/>
    </row>
    <row r="211" spans="1:24" s="26" customFormat="1" ht="12.75" customHeight="1" x14ac:dyDescent="0.2">
      <c r="B211" s="278" t="s">
        <v>33</v>
      </c>
      <c r="C211" s="210">
        <f t="shared" si="8"/>
        <v>0</v>
      </c>
      <c r="D211" s="67">
        <f t="shared" si="8"/>
        <v>0</v>
      </c>
      <c r="E211" s="67">
        <f t="shared" si="8"/>
        <v>10.734177091808931</v>
      </c>
      <c r="F211" s="67">
        <f t="shared" si="8"/>
        <v>128.8101251017074</v>
      </c>
      <c r="G211" s="67">
        <f t="shared" si="8"/>
        <v>0</v>
      </c>
      <c r="H211" s="299">
        <f t="shared" si="8"/>
        <v>0</v>
      </c>
      <c r="I211" s="22"/>
      <c r="N211" s="264"/>
      <c r="O211" s="212"/>
      <c r="P211" s="212"/>
      <c r="Q211" s="212"/>
      <c r="R211" s="212"/>
      <c r="S211" s="293"/>
      <c r="T211" s="293"/>
      <c r="U211" s="264"/>
      <c r="V211" s="884"/>
      <c r="W211" s="884"/>
      <c r="X211" s="884"/>
    </row>
    <row r="212" spans="1:24" s="26" customFormat="1" x14ac:dyDescent="0.2">
      <c r="B212" s="278" t="s">
        <v>34</v>
      </c>
      <c r="C212" s="210">
        <f t="shared" si="8"/>
        <v>0</v>
      </c>
      <c r="D212" s="67">
        <f t="shared" si="8"/>
        <v>0</v>
      </c>
      <c r="E212" s="67">
        <f t="shared" si="8"/>
        <v>10.734177091808931</v>
      </c>
      <c r="F212" s="67">
        <f t="shared" si="8"/>
        <v>128.8101251017074</v>
      </c>
      <c r="G212" s="67">
        <f t="shared" si="8"/>
        <v>0</v>
      </c>
      <c r="H212" s="299">
        <f t="shared" si="8"/>
        <v>0</v>
      </c>
      <c r="I212" s="22"/>
      <c r="J212" s="294"/>
      <c r="K212" s="294"/>
      <c r="N212" s="264"/>
      <c r="O212" s="212"/>
      <c r="P212" s="212"/>
      <c r="Q212" s="212"/>
      <c r="R212" s="212"/>
      <c r="S212" s="293"/>
      <c r="T212" s="293"/>
      <c r="U212" s="264"/>
      <c r="V212" s="294"/>
      <c r="W212" s="294"/>
      <c r="X212" s="294"/>
    </row>
    <row r="213" spans="1:24" s="26" customFormat="1" ht="13.5" thickBot="1" x14ac:dyDescent="0.25">
      <c r="B213" s="282" t="s">
        <v>35</v>
      </c>
      <c r="C213" s="229">
        <f t="shared" si="8"/>
        <v>0</v>
      </c>
      <c r="D213" s="300">
        <f t="shared" si="8"/>
        <v>2.5803507231117111</v>
      </c>
      <c r="E213" s="300">
        <f t="shared" si="8"/>
        <v>0</v>
      </c>
      <c r="F213" s="300">
        <f t="shared" si="8"/>
        <v>0</v>
      </c>
      <c r="G213" s="300">
        <f t="shared" si="8"/>
        <v>0</v>
      </c>
      <c r="H213" s="301">
        <f t="shared" si="8"/>
        <v>0</v>
      </c>
      <c r="I213" s="22"/>
      <c r="K213" s="269"/>
      <c r="N213" s="264"/>
      <c r="O213" s="212"/>
      <c r="P213" s="212"/>
      <c r="Q213" s="212"/>
      <c r="R213" s="293"/>
      <c r="S213" s="293"/>
      <c r="T213" s="293"/>
      <c r="U213" s="264"/>
      <c r="V213" s="264"/>
      <c r="W213" s="269"/>
      <c r="X213" s="269"/>
    </row>
    <row r="214" spans="1:24" s="26" customFormat="1" x14ac:dyDescent="0.2">
      <c r="B214" s="264"/>
      <c r="C214" s="78"/>
      <c r="D214" s="78"/>
      <c r="E214" s="78"/>
      <c r="F214" s="78"/>
      <c r="G214" s="78"/>
      <c r="H214" s="78"/>
      <c r="I214" s="22"/>
      <c r="K214" s="269"/>
      <c r="N214" s="264"/>
      <c r="O214" s="212"/>
      <c r="P214" s="212"/>
      <c r="Q214" s="212"/>
      <c r="R214" s="293"/>
      <c r="S214" s="293"/>
      <c r="T214" s="293"/>
      <c r="U214" s="264"/>
      <c r="V214" s="264"/>
      <c r="W214" s="269"/>
      <c r="X214" s="269"/>
    </row>
    <row r="215" spans="1:24" s="26" customFormat="1" ht="13.5" thickBot="1" x14ac:dyDescent="0.25">
      <c r="B215" s="263" t="s">
        <v>752</v>
      </c>
      <c r="C215" s="78"/>
      <c r="D215" s="78"/>
      <c r="E215" s="78"/>
      <c r="F215" s="78"/>
      <c r="G215" s="78"/>
      <c r="H215" s="78"/>
      <c r="I215" s="22"/>
      <c r="K215" s="269"/>
      <c r="N215" s="264"/>
      <c r="O215" s="212"/>
      <c r="P215" s="212"/>
      <c r="Q215" s="212"/>
      <c r="R215" s="293"/>
      <c r="S215" s="293"/>
      <c r="T215" s="293"/>
      <c r="U215" s="264"/>
      <c r="V215" s="264"/>
      <c r="W215" s="269"/>
      <c r="X215" s="269"/>
    </row>
    <row r="216" spans="1:24" s="26" customFormat="1" ht="26.25" thickBot="1" x14ac:dyDescent="0.25">
      <c r="B216" s="263"/>
      <c r="C216" s="287" t="s">
        <v>338</v>
      </c>
      <c r="D216" s="288" t="s">
        <v>333</v>
      </c>
      <c r="E216" s="288" t="s">
        <v>334</v>
      </c>
      <c r="F216" s="288" t="s">
        <v>335</v>
      </c>
      <c r="G216" s="288" t="s">
        <v>337</v>
      </c>
      <c r="H216" s="289" t="s">
        <v>336</v>
      </c>
      <c r="I216" s="22"/>
      <c r="K216" s="269"/>
      <c r="N216" s="264"/>
      <c r="O216" s="212"/>
      <c r="P216" s="212"/>
      <c r="Q216" s="212"/>
      <c r="R216" s="293"/>
      <c r="S216" s="293"/>
      <c r="T216" s="293"/>
      <c r="U216" s="264"/>
      <c r="V216" s="264"/>
      <c r="W216" s="269"/>
      <c r="X216" s="269"/>
    </row>
    <row r="217" spans="1:24" s="26" customFormat="1" x14ac:dyDescent="0.2">
      <c r="A217" s="900"/>
      <c r="B217" s="275" t="s">
        <v>36</v>
      </c>
      <c r="C217" s="276">
        <v>0</v>
      </c>
      <c r="D217" s="252">
        <f>F153</f>
        <v>125</v>
      </c>
      <c r="E217" s="252">
        <f>F151</f>
        <v>500</v>
      </c>
      <c r="F217" s="252">
        <f>F152</f>
        <v>0</v>
      </c>
      <c r="G217" s="252">
        <v>0</v>
      </c>
      <c r="H217" s="277">
        <v>0</v>
      </c>
      <c r="I217" s="22"/>
      <c r="K217" s="269"/>
      <c r="N217" s="264"/>
      <c r="O217" s="212"/>
      <c r="P217" s="212"/>
      <c r="Q217" s="212"/>
      <c r="R217" s="293"/>
      <c r="S217" s="293"/>
      <c r="T217" s="293"/>
      <c r="U217" s="264"/>
      <c r="V217" s="264"/>
      <c r="W217" s="269"/>
      <c r="X217" s="269"/>
    </row>
    <row r="218" spans="1:24" s="26" customFormat="1" x14ac:dyDescent="0.2">
      <c r="A218" s="900"/>
      <c r="B218" s="278" t="s">
        <v>37</v>
      </c>
      <c r="C218" s="285">
        <v>0</v>
      </c>
      <c r="D218" s="262">
        <f>F160</f>
        <v>200</v>
      </c>
      <c r="E218" s="262">
        <f>F158</f>
        <v>1000</v>
      </c>
      <c r="F218" s="262">
        <f>F159</f>
        <v>0</v>
      </c>
      <c r="G218" s="262">
        <v>0</v>
      </c>
      <c r="H218" s="281">
        <v>0</v>
      </c>
      <c r="I218" s="22"/>
      <c r="K218" s="269"/>
      <c r="N218" s="264"/>
      <c r="O218" s="212"/>
      <c r="P218" s="212"/>
      <c r="Q218" s="212"/>
      <c r="R218" s="293"/>
      <c r="S218" s="293"/>
      <c r="T218" s="293"/>
      <c r="U218" s="264"/>
      <c r="V218" s="264"/>
      <c r="W218" s="269"/>
      <c r="X218" s="269"/>
    </row>
    <row r="219" spans="1:24" s="26" customFormat="1" ht="13.5" thickBot="1" x14ac:dyDescent="0.25">
      <c r="A219" s="900"/>
      <c r="B219" s="282" t="s">
        <v>38</v>
      </c>
      <c r="C219" s="286">
        <v>0</v>
      </c>
      <c r="D219" s="283">
        <f>F167</f>
        <v>200</v>
      </c>
      <c r="E219" s="283">
        <f>F165</f>
        <v>1000</v>
      </c>
      <c r="F219" s="283">
        <f>F166</f>
        <v>0</v>
      </c>
      <c r="G219" s="283">
        <v>0</v>
      </c>
      <c r="H219" s="284">
        <v>0</v>
      </c>
      <c r="I219" s="22"/>
      <c r="K219" s="269"/>
      <c r="N219" s="264"/>
      <c r="O219" s="212"/>
      <c r="P219" s="212"/>
      <c r="Q219" s="212"/>
      <c r="R219" s="293"/>
      <c r="S219" s="293"/>
      <c r="T219" s="293"/>
      <c r="U219" s="264"/>
      <c r="V219" s="264"/>
      <c r="W219" s="269"/>
      <c r="X219" s="269"/>
    </row>
    <row r="220" spans="1:24" s="26" customFormat="1" ht="13.5" thickBot="1" x14ac:dyDescent="0.25">
      <c r="B220" s="22"/>
      <c r="C220" s="22"/>
      <c r="D220" s="22"/>
      <c r="E220" s="22"/>
      <c r="F220" s="22"/>
      <c r="G220" s="22"/>
      <c r="H220" s="22"/>
      <c r="I220" s="878" t="s">
        <v>341</v>
      </c>
      <c r="J220" s="878"/>
      <c r="K220" s="22"/>
      <c r="N220" s="264"/>
      <c r="O220" s="264"/>
      <c r="P220" s="264"/>
      <c r="Q220" s="264"/>
      <c r="R220" s="264"/>
      <c r="S220" s="264"/>
      <c r="T220" s="264"/>
      <c r="U220" s="901"/>
      <c r="V220" s="901"/>
      <c r="W220" s="264"/>
      <c r="X220" s="264"/>
    </row>
    <row r="221" spans="1:24" s="26" customFormat="1" ht="26.25" thickBot="1" x14ac:dyDescent="0.25">
      <c r="B221" s="22"/>
      <c r="C221" s="287" t="s">
        <v>338</v>
      </c>
      <c r="D221" s="288" t="s">
        <v>333</v>
      </c>
      <c r="E221" s="288" t="s">
        <v>334</v>
      </c>
      <c r="F221" s="288" t="s">
        <v>335</v>
      </c>
      <c r="G221" s="288" t="s">
        <v>337</v>
      </c>
      <c r="H221" s="289" t="s">
        <v>336</v>
      </c>
      <c r="I221" s="691" t="s">
        <v>340</v>
      </c>
      <c r="J221" s="692" t="s">
        <v>339</v>
      </c>
      <c r="K221" s="22"/>
      <c r="N221" s="264"/>
      <c r="O221" s="265"/>
      <c r="P221" s="265"/>
      <c r="Q221" s="265"/>
      <c r="R221" s="45"/>
      <c r="S221" s="45"/>
      <c r="T221" s="45"/>
      <c r="U221" s="266"/>
      <c r="V221" s="45"/>
      <c r="W221" s="264"/>
      <c r="X221" s="264"/>
    </row>
    <row r="222" spans="1:24" s="26" customFormat="1" x14ac:dyDescent="0.2">
      <c r="B222" s="295" t="s">
        <v>36</v>
      </c>
      <c r="C222" s="254">
        <f t="shared" ref="C222:H222" si="9">C210+C217</f>
        <v>0</v>
      </c>
      <c r="D222" s="251">
        <f t="shared" si="9"/>
        <v>133.0955486111111</v>
      </c>
      <c r="E222" s="251">
        <f t="shared" si="9"/>
        <v>500</v>
      </c>
      <c r="F222" s="251">
        <f t="shared" si="9"/>
        <v>0</v>
      </c>
      <c r="G222" s="251">
        <f t="shared" si="9"/>
        <v>0</v>
      </c>
      <c r="H222" s="255">
        <f t="shared" si="9"/>
        <v>0</v>
      </c>
      <c r="I222" s="696">
        <f>SQRT(C222^2+E222^2)</f>
        <v>500</v>
      </c>
      <c r="J222" s="255">
        <f>SQRT(F222^2+H222^2)</f>
        <v>0</v>
      </c>
      <c r="K222" s="22"/>
      <c r="N222" s="263"/>
      <c r="O222" s="212"/>
      <c r="P222" s="212"/>
      <c r="Q222" s="212"/>
      <c r="R222" s="212"/>
      <c r="S222" s="212"/>
      <c r="T222" s="212"/>
      <c r="U222" s="212"/>
      <c r="V222" s="212"/>
      <c r="W222" s="264"/>
      <c r="X222" s="264"/>
    </row>
    <row r="223" spans="1:24" s="26" customFormat="1" x14ac:dyDescent="0.2">
      <c r="B223" s="296" t="s">
        <v>37</v>
      </c>
      <c r="C223" s="256">
        <f t="shared" ref="C223:H223" si="10">0.75*(C210+C211+C218)</f>
        <v>0</v>
      </c>
      <c r="D223" s="82">
        <f t="shared" si="10"/>
        <v>156.07166145833332</v>
      </c>
      <c r="E223" s="82">
        <f t="shared" si="10"/>
        <v>758.05063281885668</v>
      </c>
      <c r="F223" s="82">
        <f t="shared" si="10"/>
        <v>96.607593826280549</v>
      </c>
      <c r="G223" s="82">
        <f t="shared" si="10"/>
        <v>0</v>
      </c>
      <c r="H223" s="257">
        <f t="shared" si="10"/>
        <v>0</v>
      </c>
      <c r="I223" s="697">
        <f>SQRT(C223^2+E223^2)</f>
        <v>758.05063281885668</v>
      </c>
      <c r="J223" s="257">
        <f>SQRT(F223^2+H223^2)</f>
        <v>96.607593826280549</v>
      </c>
      <c r="K223" s="22"/>
      <c r="N223" s="263"/>
      <c r="O223" s="212"/>
      <c r="P223" s="212"/>
      <c r="Q223" s="212"/>
      <c r="R223" s="212"/>
      <c r="S223" s="212"/>
      <c r="T223" s="212"/>
      <c r="U223" s="212"/>
      <c r="V223" s="212"/>
      <c r="W223" s="264"/>
      <c r="X223" s="264"/>
    </row>
    <row r="224" spans="1:24" s="26" customFormat="1" ht="13.5" thickBot="1" x14ac:dyDescent="0.25">
      <c r="B224" s="297" t="s">
        <v>38</v>
      </c>
      <c r="C224" s="258">
        <f t="shared" ref="C224:H224" si="11">0.75*(C210+0.5*C212+C213+C219)</f>
        <v>0</v>
      </c>
      <c r="D224" s="259">
        <f t="shared" si="11"/>
        <v>158.00692450066714</v>
      </c>
      <c r="E224" s="259">
        <f t="shared" si="11"/>
        <v>754.02531640942834</v>
      </c>
      <c r="F224" s="259">
        <f t="shared" si="11"/>
        <v>48.303796913140275</v>
      </c>
      <c r="G224" s="259">
        <f t="shared" si="11"/>
        <v>0</v>
      </c>
      <c r="H224" s="260">
        <f t="shared" si="11"/>
        <v>0</v>
      </c>
      <c r="I224" s="698">
        <f>SQRT(C224^2+E224^2)</f>
        <v>754.02531640942834</v>
      </c>
      <c r="J224" s="260">
        <f>SQRT(F224^2+H224^2)</f>
        <v>48.303796913140275</v>
      </c>
      <c r="K224" s="22"/>
      <c r="N224" s="263"/>
      <c r="O224" s="212"/>
      <c r="P224" s="212"/>
      <c r="Q224" s="212"/>
      <c r="R224" s="212"/>
      <c r="S224" s="212"/>
      <c r="T224" s="212"/>
      <c r="U224" s="212"/>
      <c r="V224" s="212"/>
      <c r="W224" s="264"/>
      <c r="X224" s="264"/>
    </row>
    <row r="225" spans="1:24" s="26" customFormat="1" ht="13.5" thickBot="1" x14ac:dyDescent="0.25">
      <c r="D225" s="68"/>
      <c r="E225" s="298"/>
      <c r="F225" s="253"/>
      <c r="G225" s="212"/>
      <c r="H225" s="80"/>
      <c r="I225" s="253"/>
      <c r="K225" s="22"/>
      <c r="N225" s="253"/>
      <c r="O225" s="253"/>
      <c r="P225" s="268"/>
      <c r="Q225" s="298"/>
      <c r="R225" s="253"/>
      <c r="S225" s="212"/>
      <c r="T225" s="80"/>
      <c r="U225" s="253"/>
      <c r="V225" s="253"/>
      <c r="W225" s="264"/>
      <c r="X225" s="264"/>
    </row>
    <row r="226" spans="1:24" s="26" customFormat="1" ht="27.75" thickBot="1" x14ac:dyDescent="0.25">
      <c r="C226" s="287" t="s">
        <v>342</v>
      </c>
      <c r="D226" s="288" t="s">
        <v>343</v>
      </c>
      <c r="E226" s="288" t="s">
        <v>344</v>
      </c>
      <c r="F226" s="288" t="s">
        <v>345</v>
      </c>
      <c r="G226" s="288" t="s">
        <v>346</v>
      </c>
      <c r="H226" s="288" t="s">
        <v>359</v>
      </c>
      <c r="I226" s="289" t="s">
        <v>347</v>
      </c>
      <c r="N226" s="263"/>
      <c r="O226" s="264"/>
      <c r="P226" s="264"/>
      <c r="Q226" s="264"/>
      <c r="R226" s="264"/>
      <c r="S226" s="264"/>
      <c r="T226" s="264"/>
      <c r="U226" s="264"/>
      <c r="V226" s="253"/>
      <c r="W226" s="253"/>
      <c r="X226" s="253"/>
    </row>
    <row r="227" spans="1:24" s="26" customFormat="1" x14ac:dyDescent="0.2">
      <c r="B227" s="295" t="s">
        <v>36</v>
      </c>
      <c r="C227" s="290">
        <f>F222*12/$H$24</f>
        <v>0</v>
      </c>
      <c r="D227" s="291">
        <f>H222*12/$H$24</f>
        <v>0</v>
      </c>
      <c r="E227" s="291">
        <f>HLOOKUP($B$18,'Maximum Stress Tables'!$A$3:$H$6,2,0)</f>
        <v>0</v>
      </c>
      <c r="F227" s="291">
        <f>VLOOKUP($B$18,'Pick List Data'!$A$74:$I$78,8,0)*I222/$H$25</f>
        <v>415.7491954483163</v>
      </c>
      <c r="G227" s="291">
        <f>G222*12*$H$29/(VLOOKUP($B$18,'Pick List Data'!$A$74:$I$78,9,0)*$H$22^2*$B$24)</f>
        <v>0</v>
      </c>
      <c r="H227" s="346">
        <f>F227+G227</f>
        <v>415.7491954483163</v>
      </c>
      <c r="I227" s="292">
        <f>D222/$H$25</f>
        <v>54.651226916367122</v>
      </c>
      <c r="N227" s="263"/>
      <c r="O227" s="264"/>
      <c r="P227" s="264"/>
      <c r="Q227" s="264"/>
      <c r="R227" s="264"/>
      <c r="S227" s="264"/>
      <c r="T227" s="264"/>
      <c r="U227" s="264"/>
      <c r="V227" s="253"/>
      <c r="W227" s="253"/>
      <c r="X227" s="253"/>
    </row>
    <row r="228" spans="1:24" s="26" customFormat="1" x14ac:dyDescent="0.2">
      <c r="B228" s="296" t="s">
        <v>37</v>
      </c>
      <c r="C228" s="210">
        <f>F223*12/$H$24</f>
        <v>614.08902983982989</v>
      </c>
      <c r="D228" s="67">
        <f>H223*12/$H$24</f>
        <v>0</v>
      </c>
      <c r="E228" s="67">
        <f>HLOOKUP($B$18,'Maximum Stress Tables'!$A$3:$H$6,3,0)</f>
        <v>614.08902983982989</v>
      </c>
      <c r="F228" s="67">
        <f>VLOOKUP($B$18,'Pick List Data'!$A$74:$I$78,8,0)*I223/$H$25</f>
        <v>630.31788140705339</v>
      </c>
      <c r="G228" s="67">
        <f>G223*12*$H$29/(VLOOKUP($B$18,'Pick List Data'!$A$74:$I$78,9,0)*$H$22^2*$B$24)</f>
        <v>0</v>
      </c>
      <c r="H228" s="345">
        <f>F228+G228</f>
        <v>630.31788140705339</v>
      </c>
      <c r="I228" s="299">
        <f>D223/$H$25</f>
        <v>64.085597712181794</v>
      </c>
      <c r="N228" s="263"/>
      <c r="O228" s="264"/>
      <c r="P228" s="264"/>
      <c r="Q228" s="264"/>
      <c r="R228" s="264"/>
      <c r="S228" s="264"/>
      <c r="T228" s="264"/>
      <c r="U228" s="264"/>
      <c r="V228" s="253"/>
      <c r="W228" s="253"/>
      <c r="X228" s="253"/>
    </row>
    <row r="229" spans="1:24" s="26" customFormat="1" ht="13.5" thickBot="1" x14ac:dyDescent="0.25">
      <c r="B229" s="297" t="s">
        <v>38</v>
      </c>
      <c r="C229" s="229">
        <f>F224*12/$H$24</f>
        <v>307.04451491991495</v>
      </c>
      <c r="D229" s="300">
        <f>H224*12/$H$24</f>
        <v>0</v>
      </c>
      <c r="E229" s="300">
        <f>HLOOKUP($B$18,'Maximum Stress Tables'!$A$3:$H$6,4,0)</f>
        <v>307.04451491991495</v>
      </c>
      <c r="F229" s="300">
        <f>VLOOKUP($B$18,'Pick List Data'!$A$74:$I$78,8,0)*I224/$H$25</f>
        <v>626.97083728976384</v>
      </c>
      <c r="G229" s="300">
        <f>G224*12*$H$29/(VLOOKUP($B$18,'Pick List Data'!$A$74:$I$78,9,0)*$H$22^2*$B$24)</f>
        <v>0</v>
      </c>
      <c r="H229" s="347">
        <f>F229+G229</f>
        <v>626.97083728976384</v>
      </c>
      <c r="I229" s="301">
        <f>D224/$H$25</f>
        <v>64.880248628558235</v>
      </c>
      <c r="N229" s="263"/>
      <c r="O229" s="264"/>
      <c r="P229" s="264"/>
      <c r="Q229" s="264"/>
      <c r="R229" s="264"/>
      <c r="S229" s="264"/>
      <c r="T229" s="264"/>
      <c r="U229" s="264"/>
      <c r="V229" s="253"/>
      <c r="W229" s="253"/>
      <c r="X229" s="253"/>
    </row>
    <row r="230" spans="1:24" s="26" customFormat="1" x14ac:dyDescent="0.2">
      <c r="B230" s="263"/>
      <c r="C230" s="78"/>
      <c r="D230" s="78"/>
      <c r="E230" s="78"/>
      <c r="F230" s="78"/>
      <c r="G230" s="78"/>
      <c r="H230" s="519"/>
      <c r="I230" s="78"/>
      <c r="N230" s="263"/>
      <c r="O230" s="264"/>
      <c r="P230" s="264"/>
      <c r="Q230" s="264"/>
      <c r="R230" s="264"/>
      <c r="S230" s="264"/>
      <c r="T230" s="264"/>
      <c r="U230" s="264"/>
      <c r="V230" s="253"/>
      <c r="W230" s="253"/>
      <c r="X230" s="253"/>
    </row>
    <row r="231" spans="1:24" s="26" customFormat="1" ht="15.75" x14ac:dyDescent="0.2">
      <c r="B231" s="552" t="s">
        <v>465</v>
      </c>
      <c r="C231" s="550" t="s">
        <v>473</v>
      </c>
      <c r="D231" s="78"/>
      <c r="E231" s="78"/>
      <c r="F231" s="552" t="s">
        <v>468</v>
      </c>
      <c r="G231" s="551" t="s">
        <v>463</v>
      </c>
      <c r="I231" s="78"/>
      <c r="N231" s="263"/>
      <c r="O231" s="264"/>
      <c r="P231" s="264"/>
      <c r="Q231" s="264"/>
      <c r="R231" s="264"/>
      <c r="S231" s="264"/>
      <c r="T231" s="264"/>
      <c r="U231" s="264"/>
      <c r="V231" s="253"/>
      <c r="W231" s="253"/>
      <c r="X231" s="253"/>
    </row>
    <row r="232" spans="1:24" s="26" customFormat="1" ht="15.75" x14ac:dyDescent="0.2">
      <c r="B232" s="552" t="s">
        <v>466</v>
      </c>
      <c r="C232" s="550" t="s">
        <v>474</v>
      </c>
      <c r="D232" s="78"/>
      <c r="E232" s="78"/>
      <c r="F232" s="552" t="s">
        <v>469</v>
      </c>
      <c r="G232" s="551" t="s">
        <v>519</v>
      </c>
      <c r="I232" s="78"/>
      <c r="N232" s="263"/>
      <c r="O232" s="264"/>
      <c r="P232" s="264"/>
      <c r="Q232" s="264"/>
      <c r="R232" s="264"/>
      <c r="S232" s="264"/>
      <c r="T232" s="264"/>
      <c r="U232" s="264"/>
      <c r="V232" s="253"/>
      <c r="W232" s="253"/>
      <c r="X232" s="253"/>
    </row>
    <row r="233" spans="1:24" s="26" customFormat="1" ht="15.75" x14ac:dyDescent="0.2">
      <c r="B233" s="552" t="s">
        <v>467</v>
      </c>
      <c r="C233" s="550" t="s">
        <v>462</v>
      </c>
      <c r="D233" s="78"/>
      <c r="E233" s="78"/>
      <c r="F233" s="552" t="s">
        <v>470</v>
      </c>
      <c r="G233" s="551" t="s">
        <v>472</v>
      </c>
      <c r="I233" s="78"/>
      <c r="N233" s="263"/>
      <c r="O233" s="264"/>
      <c r="P233" s="264"/>
      <c r="Q233" s="264"/>
      <c r="R233" s="264"/>
      <c r="S233" s="264"/>
      <c r="T233" s="264"/>
      <c r="U233" s="264"/>
      <c r="V233" s="253"/>
      <c r="W233" s="253"/>
      <c r="X233" s="253"/>
    </row>
    <row r="234" spans="1:24" s="26" customFormat="1" ht="14.25" x14ac:dyDescent="0.2">
      <c r="B234" s="78"/>
      <c r="C234" s="78"/>
      <c r="D234" s="78"/>
      <c r="E234" s="78"/>
      <c r="F234" s="552" t="s">
        <v>471</v>
      </c>
      <c r="G234" s="551" t="s">
        <v>464</v>
      </c>
      <c r="I234" s="78"/>
      <c r="N234" s="263"/>
      <c r="O234" s="264"/>
      <c r="P234" s="264"/>
      <c r="Q234" s="264"/>
      <c r="R234" s="264"/>
      <c r="S234" s="264"/>
      <c r="T234" s="264"/>
      <c r="U234" s="264"/>
      <c r="V234" s="253"/>
      <c r="W234" s="253"/>
      <c r="X234" s="253"/>
    </row>
    <row r="235" spans="1:24" s="26" customFormat="1" x14ac:dyDescent="0.2">
      <c r="A235" s="270"/>
      <c r="B235" s="261"/>
      <c r="C235" s="22"/>
      <c r="D235" s="22"/>
      <c r="E235" s="22"/>
      <c r="F235" s="22"/>
      <c r="G235" s="22"/>
      <c r="H235" s="22"/>
      <c r="I235" s="22"/>
      <c r="N235" s="263"/>
      <c r="O235" s="264"/>
      <c r="P235" s="264"/>
      <c r="Q235" s="264"/>
      <c r="R235" s="264"/>
      <c r="S235" s="264"/>
      <c r="T235" s="264"/>
      <c r="U235" s="264"/>
      <c r="V235" s="253"/>
      <c r="W235" s="253"/>
      <c r="X235" s="253"/>
    </row>
    <row r="236" spans="1:24" s="26" customFormat="1" ht="13.5" thickBot="1" x14ac:dyDescent="0.25">
      <c r="A236" s="270" t="s">
        <v>653</v>
      </c>
      <c r="C236" s="22"/>
      <c r="D236" s="22"/>
      <c r="E236" s="22"/>
      <c r="F236" s="22"/>
      <c r="G236" s="22"/>
      <c r="H236" s="22"/>
      <c r="I236" s="22"/>
      <c r="J236" s="22"/>
      <c r="K236" s="269"/>
      <c r="N236" s="263"/>
      <c r="O236" s="264"/>
      <c r="P236" s="264"/>
      <c r="Q236" s="264"/>
      <c r="R236" s="264"/>
      <c r="S236" s="264"/>
      <c r="T236" s="264"/>
      <c r="U236" s="264"/>
      <c r="V236" s="253"/>
      <c r="W236" s="253"/>
      <c r="X236" s="253"/>
    </row>
    <row r="237" spans="1:24" s="26" customFormat="1" ht="26.25" thickBot="1" x14ac:dyDescent="0.25">
      <c r="C237" s="271" t="s">
        <v>282</v>
      </c>
      <c r="D237" s="272" t="s">
        <v>338</v>
      </c>
      <c r="E237" s="273" t="s">
        <v>333</v>
      </c>
      <c r="F237" s="273" t="s">
        <v>334</v>
      </c>
      <c r="G237" s="273" t="s">
        <v>335</v>
      </c>
      <c r="H237" s="273" t="s">
        <v>337</v>
      </c>
      <c r="I237" s="274" t="s">
        <v>336</v>
      </c>
      <c r="J237" s="269"/>
      <c r="K237" s="269"/>
      <c r="N237" s="263"/>
      <c r="O237" s="264"/>
      <c r="P237" s="264"/>
      <c r="Q237" s="264"/>
      <c r="R237" s="264"/>
      <c r="S237" s="264"/>
      <c r="T237" s="264"/>
      <c r="U237" s="264"/>
      <c r="V237" s="253"/>
      <c r="W237" s="253"/>
      <c r="X237" s="253"/>
    </row>
    <row r="238" spans="1:24" s="26" customFormat="1" x14ac:dyDescent="0.2">
      <c r="B238" s="894" t="s">
        <v>332</v>
      </c>
      <c r="C238" s="275" t="s">
        <v>31</v>
      </c>
      <c r="D238" s="276">
        <v>0</v>
      </c>
      <c r="E238" s="252">
        <f>H67</f>
        <v>128.71512044270833</v>
      </c>
      <c r="F238" s="252">
        <v>0</v>
      </c>
      <c r="G238" s="252">
        <v>0</v>
      </c>
      <c r="H238" s="252">
        <v>0</v>
      </c>
      <c r="I238" s="277">
        <v>0</v>
      </c>
      <c r="K238" s="22"/>
      <c r="N238" s="263"/>
      <c r="O238" s="264"/>
      <c r="P238" s="264"/>
      <c r="Q238" s="264"/>
      <c r="R238" s="264"/>
      <c r="S238" s="264"/>
      <c r="T238" s="264"/>
      <c r="U238" s="264"/>
      <c r="V238" s="253"/>
      <c r="W238" s="253"/>
      <c r="X238" s="253"/>
    </row>
    <row r="239" spans="1:24" s="26" customFormat="1" x14ac:dyDescent="0.2">
      <c r="B239" s="895"/>
      <c r="C239" s="278" t="s">
        <v>33</v>
      </c>
      <c r="D239" s="279">
        <v>0</v>
      </c>
      <c r="E239" s="262">
        <v>0</v>
      </c>
      <c r="F239" s="280">
        <f>H80</f>
        <v>134.17721364761184</v>
      </c>
      <c r="G239" s="262">
        <f>H81</f>
        <v>1610.126563771342</v>
      </c>
      <c r="H239" s="262">
        <v>0</v>
      </c>
      <c r="I239" s="281">
        <v>0</v>
      </c>
      <c r="J239" s="264"/>
      <c r="K239" s="22"/>
      <c r="N239" s="263"/>
      <c r="O239" s="264"/>
      <c r="P239" s="264"/>
      <c r="Q239" s="264"/>
      <c r="R239" s="264"/>
      <c r="S239" s="264"/>
      <c r="T239" s="264"/>
      <c r="U239" s="264"/>
      <c r="V239" s="253"/>
      <c r="W239" s="253"/>
      <c r="X239" s="253"/>
    </row>
    <row r="240" spans="1:24" s="26" customFormat="1" x14ac:dyDescent="0.2">
      <c r="B240" s="895"/>
      <c r="C240" s="278" t="s">
        <v>34</v>
      </c>
      <c r="D240" s="279">
        <v>0</v>
      </c>
      <c r="E240" s="262">
        <v>0</v>
      </c>
      <c r="F240" s="280">
        <f>H82</f>
        <v>134.17721364761184</v>
      </c>
      <c r="G240" s="262">
        <f>H83</f>
        <v>1610.126563771342</v>
      </c>
      <c r="H240" s="262">
        <v>0</v>
      </c>
      <c r="I240" s="281">
        <v>0</v>
      </c>
      <c r="J240" s="264"/>
      <c r="K240" s="22"/>
      <c r="N240" s="263"/>
      <c r="O240" s="264"/>
      <c r="P240" s="264"/>
      <c r="Q240" s="264"/>
      <c r="R240" s="264"/>
      <c r="S240" s="264"/>
      <c r="T240" s="264"/>
      <c r="U240" s="264"/>
      <c r="V240" s="253"/>
      <c r="W240" s="253"/>
      <c r="X240" s="253"/>
    </row>
    <row r="241" spans="2:24" s="26" customFormat="1" ht="13.5" thickBot="1" x14ac:dyDescent="0.25">
      <c r="B241" s="895"/>
      <c r="C241" s="278" t="s">
        <v>35</v>
      </c>
      <c r="D241" s="279">
        <v>0</v>
      </c>
      <c r="E241" s="262">
        <f>H88</f>
        <v>40.343100285410912</v>
      </c>
      <c r="F241" s="280">
        <v>0</v>
      </c>
      <c r="G241" s="262">
        <v>0</v>
      </c>
      <c r="H241" s="262">
        <v>0</v>
      </c>
      <c r="I241" s="281">
        <v>0</v>
      </c>
      <c r="J241" s="264"/>
      <c r="K241" s="22"/>
      <c r="N241" s="263"/>
      <c r="O241" s="264"/>
      <c r="P241" s="264"/>
      <c r="Q241" s="264"/>
      <c r="R241" s="264"/>
      <c r="S241" s="264"/>
      <c r="T241" s="264"/>
      <c r="U241" s="264"/>
      <c r="V241" s="253"/>
      <c r="W241" s="253"/>
      <c r="X241" s="253"/>
    </row>
    <row r="242" spans="2:24" s="26" customFormat="1" x14ac:dyDescent="0.2">
      <c r="B242" s="885" t="s">
        <v>331</v>
      </c>
      <c r="C242" s="275" t="s">
        <v>31</v>
      </c>
      <c r="D242" s="276">
        <v>0</v>
      </c>
      <c r="E242" s="252">
        <f>H97</f>
        <v>0</v>
      </c>
      <c r="F242" s="252">
        <v>0</v>
      </c>
      <c r="G242" s="252">
        <f>H98</f>
        <v>0</v>
      </c>
      <c r="H242" s="252">
        <v>0</v>
      </c>
      <c r="I242" s="277">
        <v>0</v>
      </c>
      <c r="J242" s="264"/>
      <c r="K242" s="22"/>
      <c r="N242" s="263"/>
      <c r="O242" s="264"/>
      <c r="P242" s="264"/>
      <c r="Q242" s="264"/>
      <c r="R242" s="264"/>
      <c r="S242" s="264"/>
      <c r="T242" s="264"/>
      <c r="U242" s="264"/>
      <c r="V242" s="253"/>
      <c r="W242" s="253"/>
      <c r="X242" s="253"/>
    </row>
    <row r="243" spans="2:24" s="26" customFormat="1" x14ac:dyDescent="0.2">
      <c r="B243" s="886"/>
      <c r="C243" s="278" t="s">
        <v>33</v>
      </c>
      <c r="D243" s="285">
        <v>0</v>
      </c>
      <c r="E243" s="262">
        <v>0</v>
      </c>
      <c r="F243" s="262">
        <f>H110</f>
        <v>0</v>
      </c>
      <c r="G243" s="262">
        <f>H111</f>
        <v>0</v>
      </c>
      <c r="H243" s="262">
        <f>H112</f>
        <v>0</v>
      </c>
      <c r="I243" s="281">
        <v>0</v>
      </c>
      <c r="J243" s="264"/>
      <c r="K243" s="22"/>
      <c r="N243" s="263"/>
      <c r="O243" s="264"/>
      <c r="P243" s="264"/>
      <c r="Q243" s="264"/>
      <c r="R243" s="264"/>
      <c r="S243" s="264"/>
      <c r="T243" s="264"/>
      <c r="U243" s="264"/>
      <c r="V243" s="253"/>
      <c r="W243" s="253"/>
      <c r="X243" s="253"/>
    </row>
    <row r="244" spans="2:24" s="26" customFormat="1" x14ac:dyDescent="0.2">
      <c r="B244" s="886"/>
      <c r="C244" s="278" t="s">
        <v>34</v>
      </c>
      <c r="D244" s="285">
        <v>0</v>
      </c>
      <c r="E244" s="262">
        <v>0</v>
      </c>
      <c r="F244" s="262">
        <f>H113</f>
        <v>0</v>
      </c>
      <c r="G244" s="262">
        <f>H114</f>
        <v>0</v>
      </c>
      <c r="H244" s="262">
        <f>H115</f>
        <v>0</v>
      </c>
      <c r="I244" s="281">
        <v>0</v>
      </c>
      <c r="J244" s="264"/>
      <c r="K244" s="22"/>
      <c r="N244" s="263"/>
      <c r="O244" s="264"/>
      <c r="P244" s="264"/>
      <c r="Q244" s="264"/>
      <c r="R244" s="264"/>
      <c r="S244" s="264"/>
      <c r="T244" s="264"/>
      <c r="U244" s="264"/>
      <c r="V244" s="253"/>
      <c r="W244" s="253"/>
      <c r="X244" s="253"/>
    </row>
    <row r="245" spans="2:24" s="26" customFormat="1" ht="13.5" thickBot="1" x14ac:dyDescent="0.25">
      <c r="B245" s="886"/>
      <c r="C245" s="278" t="s">
        <v>35</v>
      </c>
      <c r="D245" s="302">
        <v>0</v>
      </c>
      <c r="E245" s="303">
        <f>H119</f>
        <v>0</v>
      </c>
      <c r="F245" s="303">
        <v>0</v>
      </c>
      <c r="G245" s="303">
        <f>H120</f>
        <v>0</v>
      </c>
      <c r="H245" s="303">
        <v>0</v>
      </c>
      <c r="I245" s="304">
        <v>0</v>
      </c>
      <c r="J245" s="264"/>
      <c r="K245" s="22"/>
      <c r="N245" s="263"/>
      <c r="O245" s="264"/>
      <c r="P245" s="264"/>
      <c r="Q245" s="264"/>
      <c r="R245" s="264"/>
      <c r="S245" s="264"/>
      <c r="T245" s="264"/>
      <c r="U245" s="264"/>
      <c r="V245" s="253"/>
      <c r="W245" s="253"/>
      <c r="X245" s="253"/>
    </row>
    <row r="246" spans="2:24" s="26" customFormat="1" x14ac:dyDescent="0.2">
      <c r="B246" s="891" t="s">
        <v>348</v>
      </c>
      <c r="C246" s="275" t="s">
        <v>31</v>
      </c>
      <c r="D246" s="276">
        <v>0</v>
      </c>
      <c r="E246" s="252">
        <f>IF($E$172&gt;=$G$20,C172,0)+IF($E$173&gt;=$G$20,C173,0)+IF($E$174&gt;=$G$20,C174,0)</f>
        <v>0</v>
      </c>
      <c r="F246" s="252">
        <v>0</v>
      </c>
      <c r="G246" s="252">
        <v>0</v>
      </c>
      <c r="H246" s="252">
        <v>0</v>
      </c>
      <c r="I246" s="277">
        <v>0</v>
      </c>
      <c r="J246" s="264"/>
      <c r="K246" s="22"/>
      <c r="N246" s="263"/>
      <c r="O246" s="264"/>
      <c r="P246" s="264"/>
      <c r="Q246" s="264"/>
      <c r="R246" s="264"/>
      <c r="S246" s="264"/>
      <c r="T246" s="264"/>
      <c r="U246" s="264"/>
      <c r="V246" s="253"/>
      <c r="W246" s="253"/>
      <c r="X246" s="253"/>
    </row>
    <row r="247" spans="2:24" s="26" customFormat="1" x14ac:dyDescent="0.2">
      <c r="B247" s="892"/>
      <c r="C247" s="278" t="s">
        <v>33</v>
      </c>
      <c r="D247" s="285">
        <v>0</v>
      </c>
      <c r="E247" s="262">
        <v>0</v>
      </c>
      <c r="F247" s="262">
        <f>IF($E$172&gt;=$G$20,F183,0)+IF($E$173&gt;=$G$20,F184,0)+IF($E$174&gt;=$G$20,F185,0)</f>
        <v>0</v>
      </c>
      <c r="G247" s="262">
        <f>IF($E$172&gt;=$G$20,$F$183*($E$172-$G$20),0)+IF($E$173&gt;=$G$20,$F$184*($E$173-$G$20),0)+IF($E$174&gt;=$G$20,$F$185*($E$174-$G$20),0)</f>
        <v>0</v>
      </c>
      <c r="H247" s="262">
        <v>0</v>
      </c>
      <c r="I247" s="281">
        <v>0</v>
      </c>
      <c r="J247" s="264"/>
      <c r="K247" s="22"/>
      <c r="N247" s="263"/>
      <c r="O247" s="264"/>
      <c r="P247" s="264"/>
      <c r="Q247" s="264"/>
      <c r="R247" s="264"/>
      <c r="S247" s="264"/>
      <c r="T247" s="264"/>
      <c r="U247" s="264"/>
      <c r="V247" s="253"/>
      <c r="W247" s="253"/>
      <c r="X247" s="253"/>
    </row>
    <row r="248" spans="2:24" s="26" customFormat="1" x14ac:dyDescent="0.2">
      <c r="B248" s="892"/>
      <c r="C248" s="278" t="s">
        <v>34</v>
      </c>
      <c r="D248" s="285">
        <v>0</v>
      </c>
      <c r="E248" s="262">
        <v>0</v>
      </c>
      <c r="F248" s="262">
        <f>IF($E$172&gt;=$G$20,F183,0)+IF($E$173&gt;=$G$20,F184,0)+IF($E$174&gt;=$G$20,F185,0)</f>
        <v>0</v>
      </c>
      <c r="G248" s="262">
        <f>IF($E$172&gt;=$G$20,$F$183*($E$172-$G$20),0)+IF($E$173&gt;=$G$20,$F$184*($E$173-$G$20),0)+IF($E$174&gt;=$G$20,$F$185*($E$174-$G$20),0)</f>
        <v>0</v>
      </c>
      <c r="H248" s="262">
        <v>0</v>
      </c>
      <c r="I248" s="281">
        <v>0</v>
      </c>
      <c r="J248" s="264"/>
      <c r="K248" s="22"/>
      <c r="N248" s="263"/>
      <c r="O248" s="264"/>
      <c r="P248" s="264"/>
      <c r="Q248" s="264"/>
      <c r="R248" s="264"/>
      <c r="S248" s="264"/>
      <c r="T248" s="264"/>
      <c r="U248" s="264"/>
      <c r="V248" s="253"/>
      <c r="W248" s="253"/>
      <c r="X248" s="253"/>
    </row>
    <row r="249" spans="2:24" s="26" customFormat="1" ht="13.5" thickBot="1" x14ac:dyDescent="0.25">
      <c r="B249" s="893"/>
      <c r="C249" s="282" t="s">
        <v>35</v>
      </c>
      <c r="D249" s="286">
        <v>0</v>
      </c>
      <c r="E249" s="283">
        <f>IF($E$172&gt;=$G$20,G172,0)+IF($E$173&gt;=$G$20,G173,0)+IF($E$174&gt;=$G$20,G174,0)</f>
        <v>0</v>
      </c>
      <c r="F249" s="283">
        <v>0</v>
      </c>
      <c r="G249" s="283">
        <v>0</v>
      </c>
      <c r="H249" s="283">
        <v>0</v>
      </c>
      <c r="I249" s="284">
        <v>0</v>
      </c>
      <c r="J249" s="264"/>
      <c r="K249" s="22"/>
      <c r="N249" s="263"/>
      <c r="O249" s="264"/>
      <c r="P249" s="264"/>
      <c r="Q249" s="264"/>
      <c r="R249" s="264"/>
      <c r="S249" s="264"/>
      <c r="T249" s="264"/>
      <c r="U249" s="264"/>
      <c r="V249" s="253"/>
      <c r="W249" s="253"/>
      <c r="X249" s="253"/>
    </row>
    <row r="250" spans="2:24" s="26" customFormat="1" x14ac:dyDescent="0.2">
      <c r="B250" s="305"/>
      <c r="C250" s="264"/>
      <c r="D250" s="266"/>
      <c r="E250" s="266"/>
      <c r="F250" s="266"/>
      <c r="G250" s="266"/>
      <c r="H250" s="266"/>
      <c r="I250" s="266"/>
      <c r="J250" s="264"/>
      <c r="K250" s="22"/>
      <c r="N250" s="263"/>
      <c r="O250" s="264"/>
      <c r="P250" s="264"/>
      <c r="Q250" s="264"/>
      <c r="R250" s="264"/>
      <c r="S250" s="264"/>
      <c r="T250" s="264"/>
      <c r="U250" s="264"/>
      <c r="V250" s="253"/>
      <c r="W250" s="253"/>
      <c r="X250" s="253"/>
    </row>
    <row r="251" spans="2:24" s="26" customFormat="1" x14ac:dyDescent="0.2">
      <c r="B251" s="261"/>
      <c r="C251" s="22"/>
      <c r="D251" s="22"/>
      <c r="E251" s="22"/>
      <c r="F251" s="22"/>
      <c r="G251" s="22"/>
      <c r="H251" s="22"/>
      <c r="I251" s="22"/>
      <c r="J251" s="264"/>
      <c r="K251" s="22"/>
      <c r="N251" s="263"/>
      <c r="O251" s="264"/>
      <c r="P251" s="264"/>
      <c r="Q251" s="264"/>
      <c r="R251" s="264"/>
      <c r="S251" s="264"/>
      <c r="T251" s="264"/>
      <c r="U251" s="264"/>
      <c r="V251" s="253"/>
      <c r="W251" s="253"/>
      <c r="X251" s="253"/>
    </row>
    <row r="252" spans="2:24" s="26" customFormat="1" ht="13.5" thickBot="1" x14ac:dyDescent="0.25">
      <c r="B252" s="261" t="s">
        <v>782</v>
      </c>
      <c r="C252" s="22"/>
      <c r="D252" s="22"/>
      <c r="E252" s="22"/>
      <c r="F252" s="22"/>
      <c r="G252" s="22"/>
      <c r="H252" s="22"/>
      <c r="I252" s="22"/>
      <c r="N252" s="263"/>
      <c r="O252" s="264"/>
      <c r="P252" s="264"/>
      <c r="Q252" s="264"/>
      <c r="R252" s="264"/>
      <c r="S252" s="264"/>
      <c r="T252" s="264"/>
      <c r="U252" s="264"/>
      <c r="V252" s="253"/>
      <c r="W252" s="253"/>
      <c r="X252" s="253"/>
    </row>
    <row r="253" spans="2:24" s="26" customFormat="1" ht="26.25" thickBot="1" x14ac:dyDescent="0.25">
      <c r="B253" s="264"/>
      <c r="C253" s="287" t="s">
        <v>338</v>
      </c>
      <c r="D253" s="288" t="s">
        <v>333</v>
      </c>
      <c r="E253" s="288" t="s">
        <v>334</v>
      </c>
      <c r="F253" s="288" t="s">
        <v>335</v>
      </c>
      <c r="G253" s="288" t="s">
        <v>337</v>
      </c>
      <c r="H253" s="289" t="s">
        <v>336</v>
      </c>
      <c r="I253" s="22"/>
      <c r="K253" s="264"/>
      <c r="N253" s="263"/>
      <c r="O253" s="264"/>
      <c r="P253" s="264"/>
      <c r="Q253" s="264"/>
      <c r="R253" s="264"/>
      <c r="S253" s="264"/>
      <c r="T253" s="264"/>
      <c r="U253" s="264"/>
      <c r="V253" s="253"/>
      <c r="W253" s="253"/>
      <c r="X253" s="253"/>
    </row>
    <row r="254" spans="2:24" s="26" customFormat="1" x14ac:dyDescent="0.2">
      <c r="B254" s="275" t="s">
        <v>31</v>
      </c>
      <c r="C254" s="290">
        <f t="shared" ref="C254:H257" si="12">SUM(D238,D242,D246)</f>
        <v>0</v>
      </c>
      <c r="D254" s="291">
        <f t="shared" si="12"/>
        <v>128.71512044270833</v>
      </c>
      <c r="E254" s="291">
        <f t="shared" si="12"/>
        <v>0</v>
      </c>
      <c r="F254" s="291">
        <f t="shared" si="12"/>
        <v>0</v>
      </c>
      <c r="G254" s="291">
        <f t="shared" si="12"/>
        <v>0</v>
      </c>
      <c r="H254" s="292">
        <f t="shared" si="12"/>
        <v>0</v>
      </c>
      <c r="I254" s="22"/>
      <c r="N254" s="263"/>
      <c r="O254" s="264"/>
      <c r="P254" s="264"/>
      <c r="Q254" s="264"/>
      <c r="R254" s="264"/>
      <c r="S254" s="264"/>
      <c r="T254" s="264"/>
      <c r="U254" s="264"/>
      <c r="V254" s="253"/>
      <c r="W254" s="253"/>
      <c r="X254" s="253"/>
    </row>
    <row r="255" spans="2:24" s="26" customFormat="1" x14ac:dyDescent="0.2">
      <c r="B255" s="278" t="s">
        <v>33</v>
      </c>
      <c r="C255" s="210">
        <f t="shared" si="12"/>
        <v>0</v>
      </c>
      <c r="D255" s="67">
        <f t="shared" si="12"/>
        <v>0</v>
      </c>
      <c r="E255" s="67">
        <f t="shared" si="12"/>
        <v>134.17721364761184</v>
      </c>
      <c r="F255" s="67">
        <f t="shared" si="12"/>
        <v>1610.126563771342</v>
      </c>
      <c r="G255" s="67">
        <f t="shared" si="12"/>
        <v>0</v>
      </c>
      <c r="H255" s="299">
        <f t="shared" si="12"/>
        <v>0</v>
      </c>
      <c r="I255" s="22"/>
      <c r="N255" s="263"/>
      <c r="O255" s="264"/>
      <c r="P255" s="264"/>
      <c r="Q255" s="264"/>
      <c r="R255" s="264"/>
      <c r="S255" s="264"/>
      <c r="T255" s="264"/>
      <c r="U255" s="264"/>
      <c r="V255" s="253"/>
      <c r="W255" s="253"/>
      <c r="X255" s="253"/>
    </row>
    <row r="256" spans="2:24" s="26" customFormat="1" x14ac:dyDescent="0.2">
      <c r="B256" s="278" t="s">
        <v>34</v>
      </c>
      <c r="C256" s="210">
        <f t="shared" si="12"/>
        <v>0</v>
      </c>
      <c r="D256" s="67">
        <f t="shared" si="12"/>
        <v>0</v>
      </c>
      <c r="E256" s="67">
        <f t="shared" si="12"/>
        <v>134.17721364761184</v>
      </c>
      <c r="F256" s="67">
        <f t="shared" si="12"/>
        <v>1610.126563771342</v>
      </c>
      <c r="G256" s="67">
        <f t="shared" si="12"/>
        <v>0</v>
      </c>
      <c r="H256" s="299">
        <f t="shared" si="12"/>
        <v>0</v>
      </c>
      <c r="I256" s="22"/>
      <c r="J256" s="294"/>
      <c r="K256" s="294"/>
      <c r="N256" s="263"/>
      <c r="O256" s="264"/>
      <c r="P256" s="264"/>
      <c r="Q256" s="264"/>
      <c r="R256" s="264"/>
      <c r="S256" s="264"/>
      <c r="T256" s="264"/>
      <c r="U256" s="264"/>
      <c r="V256" s="253"/>
      <c r="W256" s="253"/>
      <c r="X256" s="253"/>
    </row>
    <row r="257" spans="2:24" s="26" customFormat="1" ht="13.5" thickBot="1" x14ac:dyDescent="0.25">
      <c r="B257" s="282" t="s">
        <v>35</v>
      </c>
      <c r="C257" s="229">
        <f t="shared" si="12"/>
        <v>0</v>
      </c>
      <c r="D257" s="300">
        <f t="shared" si="12"/>
        <v>40.343100285410912</v>
      </c>
      <c r="E257" s="300">
        <f t="shared" si="12"/>
        <v>0</v>
      </c>
      <c r="F257" s="300">
        <f t="shared" si="12"/>
        <v>0</v>
      </c>
      <c r="G257" s="300">
        <f t="shared" si="12"/>
        <v>0</v>
      </c>
      <c r="H257" s="301">
        <f t="shared" si="12"/>
        <v>0</v>
      </c>
      <c r="I257" s="22"/>
      <c r="K257" s="269"/>
      <c r="N257" s="263"/>
      <c r="O257" s="264"/>
      <c r="P257" s="264"/>
      <c r="Q257" s="264"/>
      <c r="R257" s="264"/>
      <c r="S257" s="264"/>
      <c r="T257" s="264"/>
      <c r="U257" s="264"/>
      <c r="V257" s="253"/>
      <c r="W257" s="253"/>
      <c r="X257" s="253"/>
    </row>
    <row r="258" spans="2:24" s="26" customFormat="1" x14ac:dyDescent="0.2">
      <c r="B258" s="264"/>
      <c r="C258" s="78"/>
      <c r="D258" s="78"/>
      <c r="E258" s="78"/>
      <c r="F258" s="78"/>
      <c r="G258" s="78"/>
      <c r="H258" s="78"/>
      <c r="I258" s="22"/>
      <c r="K258" s="269"/>
      <c r="N258" s="263"/>
      <c r="O258" s="264"/>
      <c r="P258" s="264"/>
      <c r="Q258" s="264"/>
      <c r="R258" s="264"/>
      <c r="S258" s="264"/>
      <c r="T258" s="264"/>
      <c r="U258" s="264"/>
      <c r="V258" s="253"/>
      <c r="W258" s="253"/>
      <c r="X258" s="253"/>
    </row>
    <row r="259" spans="2:24" s="26" customFormat="1" ht="13.5" thickBot="1" x14ac:dyDescent="0.25">
      <c r="B259" s="263" t="s">
        <v>752</v>
      </c>
      <c r="C259" s="78"/>
      <c r="D259" s="78"/>
      <c r="E259" s="78"/>
      <c r="F259" s="78"/>
      <c r="G259" s="78"/>
      <c r="H259" s="78"/>
      <c r="I259" s="22"/>
      <c r="K259" s="269"/>
      <c r="N259" s="263"/>
      <c r="O259" s="264"/>
      <c r="P259" s="264"/>
      <c r="Q259" s="264"/>
      <c r="R259" s="264"/>
      <c r="S259" s="264"/>
      <c r="T259" s="264"/>
      <c r="U259" s="264"/>
      <c r="V259" s="253"/>
      <c r="W259" s="253"/>
      <c r="X259" s="253"/>
    </row>
    <row r="260" spans="2:24" s="26" customFormat="1" ht="26.25" thickBot="1" x14ac:dyDescent="0.25">
      <c r="B260" s="263"/>
      <c r="C260" s="287" t="s">
        <v>338</v>
      </c>
      <c r="D260" s="288" t="s">
        <v>333</v>
      </c>
      <c r="E260" s="288" t="s">
        <v>334</v>
      </c>
      <c r="F260" s="288" t="s">
        <v>335</v>
      </c>
      <c r="G260" s="288" t="s">
        <v>337</v>
      </c>
      <c r="H260" s="289" t="s">
        <v>336</v>
      </c>
      <c r="I260" s="22"/>
      <c r="K260" s="269"/>
      <c r="N260" s="263"/>
      <c r="O260" s="264"/>
      <c r="P260" s="264"/>
      <c r="Q260" s="264"/>
      <c r="R260" s="264"/>
      <c r="S260" s="264"/>
      <c r="T260" s="264"/>
      <c r="U260" s="264"/>
      <c r="V260" s="253"/>
      <c r="W260" s="253"/>
      <c r="X260" s="253"/>
    </row>
    <row r="261" spans="2:24" s="26" customFormat="1" x14ac:dyDescent="0.2">
      <c r="B261" s="275" t="s">
        <v>36</v>
      </c>
      <c r="C261" s="276">
        <v>0</v>
      </c>
      <c r="D261" s="252">
        <f>E153</f>
        <v>125</v>
      </c>
      <c r="E261" s="252">
        <f>E151</f>
        <v>500</v>
      </c>
      <c r="F261" s="252">
        <f>E152</f>
        <v>5750</v>
      </c>
      <c r="G261" s="252">
        <v>0</v>
      </c>
      <c r="H261" s="277">
        <v>0</v>
      </c>
      <c r="K261" s="269"/>
      <c r="N261" s="263"/>
      <c r="O261" s="264"/>
      <c r="P261" s="264"/>
      <c r="Q261" s="264"/>
      <c r="R261" s="264"/>
      <c r="S261" s="264"/>
      <c r="T261" s="264"/>
      <c r="U261" s="264"/>
      <c r="V261" s="253"/>
      <c r="W261" s="253"/>
      <c r="X261" s="253"/>
    </row>
    <row r="262" spans="2:24" s="26" customFormat="1" x14ac:dyDescent="0.2">
      <c r="B262" s="278" t="s">
        <v>37</v>
      </c>
      <c r="C262" s="285">
        <v>0</v>
      </c>
      <c r="D262" s="262">
        <f>E160</f>
        <v>200</v>
      </c>
      <c r="E262" s="262">
        <f>E158</f>
        <v>1000</v>
      </c>
      <c r="F262" s="262">
        <f>E159</f>
        <v>11500</v>
      </c>
      <c r="G262" s="262">
        <v>0</v>
      </c>
      <c r="H262" s="281">
        <v>0</v>
      </c>
      <c r="K262" s="269"/>
      <c r="N262" s="263"/>
      <c r="O262" s="264"/>
      <c r="P262" s="264"/>
      <c r="Q262" s="264"/>
      <c r="R262" s="264"/>
      <c r="S262" s="264"/>
      <c r="T262" s="264"/>
      <c r="U262" s="264"/>
      <c r="V262" s="253"/>
      <c r="W262" s="253"/>
      <c r="X262" s="253"/>
    </row>
    <row r="263" spans="2:24" s="26" customFormat="1" ht="13.5" thickBot="1" x14ac:dyDescent="0.25">
      <c r="B263" s="282" t="s">
        <v>38</v>
      </c>
      <c r="C263" s="286">
        <v>0</v>
      </c>
      <c r="D263" s="283">
        <f>E167</f>
        <v>200</v>
      </c>
      <c r="E263" s="283">
        <f>E165</f>
        <v>1000</v>
      </c>
      <c r="F263" s="283">
        <f>E166</f>
        <v>11500</v>
      </c>
      <c r="G263" s="283">
        <v>0</v>
      </c>
      <c r="H263" s="284">
        <v>0</v>
      </c>
      <c r="K263" s="269"/>
      <c r="N263" s="263"/>
      <c r="O263" s="264"/>
      <c r="P263" s="264"/>
      <c r="Q263" s="264"/>
      <c r="R263" s="264"/>
      <c r="S263" s="264"/>
      <c r="T263" s="264"/>
      <c r="U263" s="264"/>
      <c r="V263" s="253"/>
      <c r="W263" s="253"/>
      <c r="X263" s="253"/>
    </row>
    <row r="264" spans="2:24" s="26" customFormat="1" x14ac:dyDescent="0.2">
      <c r="B264" s="264"/>
      <c r="C264" s="266"/>
      <c r="D264" s="266"/>
      <c r="E264" s="266"/>
      <c r="F264" s="266"/>
      <c r="G264" s="266"/>
      <c r="H264" s="266"/>
      <c r="K264" s="269"/>
      <c r="N264" s="263"/>
      <c r="O264" s="264"/>
      <c r="P264" s="264"/>
      <c r="Q264" s="264"/>
      <c r="R264" s="264"/>
      <c r="S264" s="264"/>
      <c r="T264" s="264"/>
      <c r="U264" s="264"/>
      <c r="V264" s="253"/>
      <c r="W264" s="253"/>
      <c r="X264" s="253"/>
    </row>
    <row r="265" spans="2:24" s="26" customFormat="1" ht="13.5" thickBot="1" x14ac:dyDescent="0.25">
      <c r="B265" s="263" t="s">
        <v>781</v>
      </c>
      <c r="C265" s="22"/>
      <c r="D265" s="22"/>
      <c r="E265" s="22"/>
      <c r="F265" s="22"/>
      <c r="G265" s="22"/>
      <c r="H265" s="22"/>
      <c r="I265" s="878" t="s">
        <v>341</v>
      </c>
      <c r="J265" s="878"/>
      <c r="K265" s="22"/>
      <c r="N265" s="263"/>
      <c r="O265" s="264"/>
      <c r="P265" s="264"/>
      <c r="Q265" s="264"/>
      <c r="R265" s="264"/>
      <c r="S265" s="264"/>
      <c r="T265" s="264"/>
      <c r="U265" s="264"/>
      <c r="V265" s="253"/>
      <c r="W265" s="253"/>
      <c r="X265" s="253"/>
    </row>
    <row r="266" spans="2:24" s="26" customFormat="1" ht="26.25" thickBot="1" x14ac:dyDescent="0.25">
      <c r="B266" s="22"/>
      <c r="C266" s="287" t="s">
        <v>338</v>
      </c>
      <c r="D266" s="288" t="s">
        <v>333</v>
      </c>
      <c r="E266" s="288" t="s">
        <v>334</v>
      </c>
      <c r="F266" s="288" t="s">
        <v>335</v>
      </c>
      <c r="G266" s="288" t="s">
        <v>337</v>
      </c>
      <c r="H266" s="289" t="s">
        <v>336</v>
      </c>
      <c r="I266" s="691" t="s">
        <v>340</v>
      </c>
      <c r="J266" s="692" t="s">
        <v>339</v>
      </c>
      <c r="K266" s="22"/>
      <c r="N266" s="263"/>
      <c r="O266" s="264"/>
      <c r="P266" s="264"/>
      <c r="Q266" s="264"/>
      <c r="R266" s="264"/>
      <c r="S266" s="264"/>
      <c r="T266" s="264"/>
      <c r="U266" s="264"/>
      <c r="V266" s="253"/>
      <c r="W266" s="253"/>
      <c r="X266" s="253"/>
    </row>
    <row r="267" spans="2:24" s="26" customFormat="1" x14ac:dyDescent="0.2">
      <c r="B267" s="295" t="s">
        <v>36</v>
      </c>
      <c r="C267" s="254">
        <f t="shared" ref="C267:H267" si="13">C254+C261</f>
        <v>0</v>
      </c>
      <c r="D267" s="251">
        <f t="shared" si="13"/>
        <v>253.71512044270833</v>
      </c>
      <c r="E267" s="251">
        <f t="shared" si="13"/>
        <v>500</v>
      </c>
      <c r="F267" s="251">
        <f t="shared" si="13"/>
        <v>5750</v>
      </c>
      <c r="G267" s="251">
        <f t="shared" si="13"/>
        <v>0</v>
      </c>
      <c r="H267" s="255">
        <f t="shared" si="13"/>
        <v>0</v>
      </c>
      <c r="I267" s="696">
        <f>SQRT(C267^2+E267^2)</f>
        <v>500</v>
      </c>
      <c r="J267" s="255">
        <f>SQRT(F267^2+H267^2)</f>
        <v>5750</v>
      </c>
      <c r="K267" s="22"/>
      <c r="N267" s="263"/>
      <c r="O267" s="264"/>
      <c r="P267" s="264"/>
      <c r="Q267" s="264"/>
      <c r="R267" s="264"/>
      <c r="S267" s="264"/>
      <c r="T267" s="264"/>
      <c r="U267" s="264"/>
      <c r="V267" s="253"/>
      <c r="W267" s="253"/>
      <c r="X267" s="253"/>
    </row>
    <row r="268" spans="2:24" s="26" customFormat="1" x14ac:dyDescent="0.2">
      <c r="B268" s="296" t="s">
        <v>37</v>
      </c>
      <c r="C268" s="256">
        <f t="shared" ref="C268:H268" si="14">0.75*(C254+C255+C262)</f>
        <v>0</v>
      </c>
      <c r="D268" s="82">
        <f t="shared" si="14"/>
        <v>246.53634033203124</v>
      </c>
      <c r="E268" s="82">
        <f t="shared" si="14"/>
        <v>850.63291023570878</v>
      </c>
      <c r="F268" s="82">
        <f t="shared" si="14"/>
        <v>9832.5949228285062</v>
      </c>
      <c r="G268" s="82">
        <f t="shared" si="14"/>
        <v>0</v>
      </c>
      <c r="H268" s="257">
        <f t="shared" si="14"/>
        <v>0</v>
      </c>
      <c r="I268" s="697">
        <f>SQRT(C268^2+E268^2)</f>
        <v>850.63291023570878</v>
      </c>
      <c r="J268" s="257">
        <f>SQRT(F268^2+H268^2)</f>
        <v>9832.5949228285062</v>
      </c>
      <c r="K268" s="22"/>
      <c r="N268" s="263"/>
      <c r="O268" s="264"/>
      <c r="P268" s="264"/>
      <c r="Q268" s="264"/>
      <c r="R268" s="264"/>
      <c r="S268" s="264"/>
      <c r="T268" s="264"/>
      <c r="U268" s="264"/>
      <c r="V268" s="253"/>
      <c r="W268" s="253"/>
      <c r="X268" s="253"/>
    </row>
    <row r="269" spans="2:24" s="26" customFormat="1" ht="13.5" thickBot="1" x14ac:dyDescent="0.25">
      <c r="B269" s="297" t="s">
        <v>38</v>
      </c>
      <c r="C269" s="258">
        <f t="shared" ref="C269:H269" si="15">0.75*(C254+0.5*C256+C257+C263)</f>
        <v>0</v>
      </c>
      <c r="D269" s="259">
        <f t="shared" si="15"/>
        <v>276.79366554608941</v>
      </c>
      <c r="E269" s="259">
        <f t="shared" si="15"/>
        <v>800.3164551178545</v>
      </c>
      <c r="F269" s="259">
        <f t="shared" si="15"/>
        <v>9228.7974614142531</v>
      </c>
      <c r="G269" s="259">
        <f t="shared" si="15"/>
        <v>0</v>
      </c>
      <c r="H269" s="260">
        <f t="shared" si="15"/>
        <v>0</v>
      </c>
      <c r="I269" s="698">
        <f>SQRT(C269^2+E269^2)</f>
        <v>800.3164551178545</v>
      </c>
      <c r="J269" s="260">
        <f>SQRT(F269^2+H269^2)</f>
        <v>9228.7974614142531</v>
      </c>
      <c r="K269" s="22"/>
      <c r="N269" s="263"/>
      <c r="O269" s="264"/>
      <c r="P269" s="264"/>
      <c r="Q269" s="264"/>
      <c r="R269" s="264"/>
      <c r="S269" s="264"/>
      <c r="T269" s="264"/>
      <c r="U269" s="264"/>
      <c r="V269" s="253"/>
      <c r="W269" s="253"/>
      <c r="X269" s="253"/>
    </row>
    <row r="270" spans="2:24" s="26" customFormat="1" ht="13.5" thickBot="1" x14ac:dyDescent="0.25">
      <c r="D270" s="68"/>
      <c r="E270" s="298"/>
      <c r="F270" s="253"/>
      <c r="G270" s="212"/>
      <c r="H270" s="80"/>
      <c r="I270" s="253"/>
      <c r="K270" s="22"/>
      <c r="N270" s="263"/>
      <c r="O270" s="264"/>
      <c r="P270" s="264"/>
      <c r="Q270" s="264"/>
      <c r="R270" s="264"/>
      <c r="S270" s="264"/>
      <c r="T270" s="264"/>
      <c r="U270" s="264"/>
      <c r="V270" s="253"/>
      <c r="W270" s="253"/>
      <c r="X270" s="253"/>
    </row>
    <row r="271" spans="2:24" s="26" customFormat="1" ht="27.75" thickBot="1" x14ac:dyDescent="0.25">
      <c r="C271" s="287" t="s">
        <v>342</v>
      </c>
      <c r="D271" s="288" t="s">
        <v>343</v>
      </c>
      <c r="E271" s="288" t="s">
        <v>344</v>
      </c>
      <c r="F271" s="288" t="s">
        <v>345</v>
      </c>
      <c r="G271" s="288" t="s">
        <v>346</v>
      </c>
      <c r="H271" s="288" t="s">
        <v>359</v>
      </c>
      <c r="I271" s="289" t="s">
        <v>347</v>
      </c>
      <c r="N271" s="263"/>
      <c r="O271" s="264"/>
      <c r="P271" s="264"/>
      <c r="Q271" s="264"/>
      <c r="R271" s="264"/>
      <c r="S271" s="264"/>
      <c r="T271" s="264"/>
      <c r="U271" s="264"/>
      <c r="V271" s="253"/>
      <c r="W271" s="253"/>
      <c r="X271" s="253"/>
    </row>
    <row r="272" spans="2:24" s="26" customFormat="1" x14ac:dyDescent="0.2">
      <c r="B272" s="295" t="s">
        <v>36</v>
      </c>
      <c r="C272" s="290">
        <f>F267*12/$G$24</f>
        <v>15586.091243236993</v>
      </c>
      <c r="D272" s="291">
        <f>H267*12/$G$24</f>
        <v>0</v>
      </c>
      <c r="E272" s="291">
        <f>HLOOKUP($B$18,'Maximum Stress Tables'!$A$9:$H$12,2,0)</f>
        <v>15586.091243236993</v>
      </c>
      <c r="F272" s="291">
        <f>VLOOKUP($B$18,'Pick List Data'!$A$74:$I$78,8,0)*I267/$G$25</f>
        <v>271.49139271732719</v>
      </c>
      <c r="G272" s="291">
        <f>G267*12*$G$29/(VLOOKUP($B$18,'Pick List Data'!$A$74:$I$78,9,0)*$G$22^2*$B$24)</f>
        <v>0</v>
      </c>
      <c r="H272" s="346">
        <f>F272+G272</f>
        <v>271.49139271732719</v>
      </c>
      <c r="I272" s="292">
        <f>D267/$G$25</f>
        <v>68.031082866602759</v>
      </c>
      <c r="N272" s="263"/>
      <c r="O272" s="264"/>
      <c r="P272" s="264"/>
      <c r="Q272" s="264"/>
      <c r="R272" s="264"/>
      <c r="S272" s="264"/>
      <c r="T272" s="264"/>
      <c r="U272" s="264"/>
      <c r="V272" s="253"/>
      <c r="W272" s="253"/>
      <c r="X272" s="253"/>
    </row>
    <row r="273" spans="1:24" s="26" customFormat="1" x14ac:dyDescent="0.2">
      <c r="B273" s="296" t="s">
        <v>37</v>
      </c>
      <c r="C273" s="210">
        <f>F268*12/$G$24</f>
        <v>26652.473326085896</v>
      </c>
      <c r="D273" s="67">
        <f>H268*12/$G$24</f>
        <v>0</v>
      </c>
      <c r="E273" s="67">
        <f>HLOOKUP($B$18,'Maximum Stress Tables'!$A$9:$H$12,3,0)</f>
        <v>26652.473326085896</v>
      </c>
      <c r="F273" s="67">
        <f>VLOOKUP($B$18,'Pick List Data'!$A$74:$I$78,8,0)*I268/$G$25</f>
        <v>461.87902698217152</v>
      </c>
      <c r="G273" s="67">
        <f>G268*12*$G$29/(VLOOKUP($B$18,'Pick List Data'!$A$74:$I$78,9,0)*$G$22^2*$B$24)</f>
        <v>0</v>
      </c>
      <c r="H273" s="345">
        <f>F273+G273</f>
        <v>461.87902698217152</v>
      </c>
      <c r="I273" s="299">
        <f>D268/$G$25</f>
        <v>66.106167300914692</v>
      </c>
      <c r="N273" s="263"/>
      <c r="O273" s="264"/>
      <c r="P273" s="264"/>
      <c r="Q273" s="264"/>
      <c r="R273" s="264"/>
      <c r="S273" s="264"/>
      <c r="T273" s="264"/>
      <c r="U273" s="264"/>
      <c r="V273" s="253"/>
      <c r="W273" s="253"/>
      <c r="X273" s="253"/>
    </row>
    <row r="274" spans="1:24" s="26" customFormat="1" ht="13.5" thickBot="1" x14ac:dyDescent="0.25">
      <c r="B274" s="297" t="s">
        <v>38</v>
      </c>
      <c r="C274" s="229">
        <f>F269*12/$G$24</f>
        <v>25015.805095470696</v>
      </c>
      <c r="D274" s="300">
        <f>H269*12/$G$24</f>
        <v>0</v>
      </c>
      <c r="E274" s="300">
        <f>HLOOKUP($B$18,'Maximum Stress Tables'!$A$9:$H$12,4,0)</f>
        <v>25015.805095470696</v>
      </c>
      <c r="F274" s="300">
        <f>VLOOKUP($B$18,'Pick List Data'!$A$74:$I$78,8,0)*I269/$G$25</f>
        <v>434.55805802908122</v>
      </c>
      <c r="G274" s="300">
        <f>G269*12*$G$29/(VLOOKUP($B$18,'Pick List Data'!$A$74:$I$78,9,0)*$G$22^2*$B$24)</f>
        <v>0</v>
      </c>
      <c r="H274" s="347">
        <f>F274+G274</f>
        <v>434.55805802908122</v>
      </c>
      <c r="I274" s="301">
        <f>D269/$G$25</f>
        <v>74.219355806856186</v>
      </c>
      <c r="N274" s="263"/>
      <c r="O274" s="264"/>
      <c r="P274" s="264"/>
      <c r="Q274" s="264"/>
      <c r="R274" s="264"/>
      <c r="S274" s="264"/>
      <c r="T274" s="264"/>
      <c r="U274" s="264"/>
      <c r="V274" s="253"/>
      <c r="W274" s="253"/>
      <c r="X274" s="253"/>
    </row>
    <row r="275" spans="1:24" s="26" customFormat="1" x14ac:dyDescent="0.2">
      <c r="B275" s="263"/>
      <c r="C275" s="78"/>
      <c r="D275" s="78"/>
      <c r="E275" s="78"/>
      <c r="F275" s="78"/>
      <c r="G275" s="78"/>
      <c r="H275" s="519"/>
      <c r="I275" s="78"/>
      <c r="N275" s="263"/>
      <c r="O275" s="264"/>
      <c r="P275" s="264"/>
      <c r="Q275" s="264"/>
      <c r="R275" s="264"/>
      <c r="S275" s="264"/>
      <c r="T275" s="264"/>
      <c r="U275" s="264"/>
      <c r="V275" s="253"/>
      <c r="W275" s="253"/>
      <c r="X275" s="253"/>
    </row>
    <row r="276" spans="1:24" s="26" customFormat="1" ht="15.75" x14ac:dyDescent="0.2">
      <c r="B276" s="552" t="s">
        <v>465</v>
      </c>
      <c r="C276" s="550" t="s">
        <v>473</v>
      </c>
      <c r="D276" s="78"/>
      <c r="E276" s="78"/>
      <c r="F276" s="552" t="s">
        <v>468</v>
      </c>
      <c r="G276" s="551" t="s">
        <v>463</v>
      </c>
      <c r="H276" s="519"/>
      <c r="I276" s="78"/>
      <c r="N276" s="263"/>
      <c r="O276" s="264"/>
      <c r="P276" s="264"/>
      <c r="Q276" s="264"/>
      <c r="R276" s="264"/>
      <c r="S276" s="264"/>
      <c r="T276" s="264"/>
      <c r="U276" s="264"/>
      <c r="V276" s="253"/>
      <c r="W276" s="253"/>
      <c r="X276" s="253"/>
    </row>
    <row r="277" spans="1:24" s="26" customFormat="1" ht="15.75" x14ac:dyDescent="0.2">
      <c r="B277" s="552" t="s">
        <v>466</v>
      </c>
      <c r="C277" s="550" t="s">
        <v>474</v>
      </c>
      <c r="D277" s="78"/>
      <c r="E277" s="78"/>
      <c r="F277" s="552" t="s">
        <v>469</v>
      </c>
      <c r="G277" s="551" t="s">
        <v>519</v>
      </c>
      <c r="H277" s="519"/>
      <c r="I277" s="78"/>
      <c r="N277" s="263"/>
      <c r="O277" s="264"/>
      <c r="P277" s="264"/>
      <c r="Q277" s="264"/>
      <c r="R277" s="264"/>
      <c r="S277" s="264"/>
      <c r="T277" s="264"/>
      <c r="U277" s="264"/>
      <c r="V277" s="253"/>
      <c r="W277" s="253"/>
      <c r="X277" s="253"/>
    </row>
    <row r="278" spans="1:24" s="26" customFormat="1" ht="15.75" x14ac:dyDescent="0.2">
      <c r="B278" s="552" t="s">
        <v>467</v>
      </c>
      <c r="C278" s="550" t="s">
        <v>462</v>
      </c>
      <c r="D278" s="78"/>
      <c r="E278" s="78"/>
      <c r="F278" s="552" t="s">
        <v>470</v>
      </c>
      <c r="G278" s="551" t="s">
        <v>472</v>
      </c>
      <c r="H278" s="519"/>
      <c r="I278" s="78"/>
      <c r="N278" s="263"/>
      <c r="O278" s="264"/>
      <c r="P278" s="264"/>
      <c r="Q278" s="264"/>
      <c r="R278" s="264"/>
      <c r="S278" s="264"/>
      <c r="T278" s="264"/>
      <c r="U278" s="264"/>
      <c r="V278" s="253"/>
      <c r="W278" s="253"/>
      <c r="X278" s="253"/>
    </row>
    <row r="279" spans="1:24" s="26" customFormat="1" ht="14.25" x14ac:dyDescent="0.2">
      <c r="B279" s="78"/>
      <c r="C279" s="78"/>
      <c r="D279" s="78"/>
      <c r="E279" s="78"/>
      <c r="F279" s="552" t="s">
        <v>471</v>
      </c>
      <c r="G279" s="551" t="s">
        <v>464</v>
      </c>
      <c r="H279" s="22"/>
      <c r="I279" s="22"/>
      <c r="N279" s="263"/>
      <c r="O279" s="264"/>
      <c r="P279" s="264"/>
      <c r="Q279" s="264"/>
      <c r="R279" s="264"/>
      <c r="S279" s="264"/>
      <c r="T279" s="264"/>
      <c r="U279" s="264"/>
      <c r="V279" s="253"/>
      <c r="W279" s="253"/>
      <c r="X279" s="253"/>
    </row>
    <row r="280" spans="1:24" s="26" customFormat="1" x14ac:dyDescent="0.2">
      <c r="A280" s="270"/>
      <c r="B280" s="261"/>
      <c r="C280" s="22"/>
      <c r="D280" s="22"/>
      <c r="E280" s="22"/>
      <c r="F280" s="22"/>
      <c r="G280" s="22"/>
      <c r="H280" s="22"/>
      <c r="I280" s="22"/>
      <c r="N280" s="263"/>
      <c r="O280" s="264"/>
      <c r="P280" s="264"/>
      <c r="Q280" s="264"/>
      <c r="R280" s="264"/>
      <c r="S280" s="264"/>
      <c r="T280" s="264"/>
      <c r="U280" s="264"/>
      <c r="V280" s="253"/>
      <c r="W280" s="253"/>
      <c r="X280" s="253"/>
    </row>
    <row r="281" spans="1:24" s="26" customFormat="1" ht="13.5" thickBot="1" x14ac:dyDescent="0.25">
      <c r="A281" s="270" t="s">
        <v>649</v>
      </c>
      <c r="C281" s="22"/>
      <c r="D281" s="22"/>
      <c r="E281" s="22"/>
      <c r="F281" s="22"/>
      <c r="G281" s="22"/>
      <c r="H281" s="22"/>
      <c r="I281" s="22"/>
      <c r="N281" s="263"/>
      <c r="O281" s="264"/>
      <c r="P281" s="264"/>
      <c r="Q281" s="264"/>
      <c r="R281" s="264"/>
      <c r="S281" s="264"/>
      <c r="T281" s="264"/>
      <c r="U281" s="264"/>
      <c r="V281" s="253"/>
      <c r="W281" s="253"/>
      <c r="X281" s="253"/>
    </row>
    <row r="282" spans="1:24" s="26" customFormat="1" ht="26.25" thickBot="1" x14ac:dyDescent="0.25">
      <c r="C282" s="271" t="s">
        <v>282</v>
      </c>
      <c r="D282" s="272" t="s">
        <v>338</v>
      </c>
      <c r="E282" s="273" t="s">
        <v>333</v>
      </c>
      <c r="F282" s="273" t="s">
        <v>334</v>
      </c>
      <c r="G282" s="273" t="s">
        <v>335</v>
      </c>
      <c r="H282" s="273" t="s">
        <v>337</v>
      </c>
      <c r="I282" s="274" t="s">
        <v>336</v>
      </c>
      <c r="J282" s="269"/>
      <c r="N282" s="263"/>
      <c r="O282" s="264"/>
      <c r="P282" s="264"/>
      <c r="Q282" s="264"/>
      <c r="R282" s="264"/>
      <c r="S282" s="264"/>
      <c r="T282" s="264"/>
      <c r="U282" s="264"/>
      <c r="V282" s="253"/>
      <c r="W282" s="253"/>
      <c r="X282" s="253"/>
    </row>
    <row r="283" spans="1:24" s="26" customFormat="1" x14ac:dyDescent="0.2">
      <c r="B283" s="894" t="s">
        <v>332</v>
      </c>
      <c r="C283" s="275" t="s">
        <v>31</v>
      </c>
      <c r="D283" s="276">
        <v>0</v>
      </c>
      <c r="E283" s="252">
        <f>G67</f>
        <v>274.76319335937501</v>
      </c>
      <c r="F283" s="252">
        <v>0</v>
      </c>
      <c r="G283" s="252">
        <v>0</v>
      </c>
      <c r="H283" s="252">
        <v>0</v>
      </c>
      <c r="I283" s="277">
        <v>0</v>
      </c>
      <c r="N283" s="263"/>
      <c r="O283" s="264"/>
      <c r="P283" s="264"/>
      <c r="Q283" s="264"/>
      <c r="R283" s="264"/>
      <c r="S283" s="264"/>
      <c r="T283" s="264"/>
      <c r="U283" s="264"/>
      <c r="V283" s="253"/>
      <c r="W283" s="253"/>
      <c r="X283" s="253"/>
    </row>
    <row r="284" spans="1:24" s="26" customFormat="1" x14ac:dyDescent="0.2">
      <c r="B284" s="895"/>
      <c r="C284" s="278" t="s">
        <v>33</v>
      </c>
      <c r="D284" s="279">
        <v>0</v>
      </c>
      <c r="E284" s="262">
        <v>0</v>
      </c>
      <c r="F284" s="280">
        <f>G80</f>
        <v>241.51898456570132</v>
      </c>
      <c r="G284" s="262">
        <f>G81</f>
        <v>2898.2278147884158</v>
      </c>
      <c r="H284" s="262">
        <v>0</v>
      </c>
      <c r="I284" s="281">
        <v>0</v>
      </c>
      <c r="J284" s="264"/>
      <c r="N284" s="263"/>
      <c r="O284" s="264"/>
      <c r="P284" s="264"/>
      <c r="Q284" s="264"/>
      <c r="R284" s="264"/>
      <c r="S284" s="264"/>
      <c r="T284" s="264"/>
      <c r="U284" s="264"/>
      <c r="V284" s="253"/>
      <c r="W284" s="253"/>
      <c r="X284" s="253"/>
    </row>
    <row r="285" spans="1:24" s="26" customFormat="1" x14ac:dyDescent="0.2">
      <c r="B285" s="895"/>
      <c r="C285" s="278" t="s">
        <v>34</v>
      </c>
      <c r="D285" s="279">
        <v>0</v>
      </c>
      <c r="E285" s="262">
        <v>0</v>
      </c>
      <c r="F285" s="280">
        <f>G82</f>
        <v>241.51898456570134</v>
      </c>
      <c r="G285" s="262">
        <f>G83</f>
        <v>2898.2278147884153</v>
      </c>
      <c r="H285" s="262">
        <v>0</v>
      </c>
      <c r="I285" s="281">
        <v>0</v>
      </c>
      <c r="J285" s="264"/>
      <c r="N285" s="263"/>
      <c r="O285" s="264"/>
      <c r="P285" s="264"/>
      <c r="Q285" s="264"/>
      <c r="R285" s="264"/>
      <c r="S285" s="264"/>
      <c r="T285" s="264"/>
      <c r="U285" s="264"/>
      <c r="V285" s="253"/>
      <c r="W285" s="253"/>
      <c r="X285" s="253"/>
    </row>
    <row r="286" spans="1:24" s="26" customFormat="1" ht="13.5" thickBot="1" x14ac:dyDescent="0.25">
      <c r="B286" s="895"/>
      <c r="C286" s="278" t="s">
        <v>35</v>
      </c>
      <c r="D286" s="279">
        <v>0</v>
      </c>
      <c r="E286" s="262">
        <f>G88</f>
        <v>85.278179856110199</v>
      </c>
      <c r="F286" s="280">
        <v>0</v>
      </c>
      <c r="G286" s="262">
        <v>0</v>
      </c>
      <c r="H286" s="262">
        <v>0</v>
      </c>
      <c r="I286" s="281">
        <v>0</v>
      </c>
      <c r="J286" s="264"/>
      <c r="N286" s="263"/>
      <c r="O286" s="264"/>
      <c r="P286" s="264"/>
      <c r="Q286" s="264"/>
      <c r="R286" s="264"/>
      <c r="S286" s="264"/>
      <c r="T286" s="264"/>
      <c r="U286" s="264"/>
      <c r="V286" s="253"/>
      <c r="W286" s="253"/>
      <c r="X286" s="253"/>
    </row>
    <row r="287" spans="1:24" s="26" customFormat="1" x14ac:dyDescent="0.2">
      <c r="B287" s="885" t="s">
        <v>331</v>
      </c>
      <c r="C287" s="275" t="s">
        <v>31</v>
      </c>
      <c r="D287" s="276">
        <v>0</v>
      </c>
      <c r="E287" s="252">
        <f>G97</f>
        <v>0</v>
      </c>
      <c r="F287" s="252">
        <v>0</v>
      </c>
      <c r="G287" s="252">
        <f>G98</f>
        <v>0</v>
      </c>
      <c r="H287" s="252">
        <f>0</f>
        <v>0</v>
      </c>
      <c r="I287" s="277">
        <v>0</v>
      </c>
      <c r="J287" s="264"/>
      <c r="N287" s="263"/>
      <c r="O287" s="264"/>
      <c r="P287" s="264"/>
      <c r="Q287" s="264"/>
      <c r="R287" s="264"/>
      <c r="S287" s="264"/>
      <c r="T287" s="264"/>
      <c r="U287" s="264"/>
      <c r="V287" s="253"/>
      <c r="W287" s="253"/>
      <c r="X287" s="253"/>
    </row>
    <row r="288" spans="1:24" s="26" customFormat="1" x14ac:dyDescent="0.2">
      <c r="B288" s="886"/>
      <c r="C288" s="278" t="s">
        <v>33</v>
      </c>
      <c r="D288" s="285">
        <v>0</v>
      </c>
      <c r="E288" s="262">
        <v>0</v>
      </c>
      <c r="F288" s="262">
        <f>G110</f>
        <v>0</v>
      </c>
      <c r="G288" s="262">
        <f>G111</f>
        <v>0</v>
      </c>
      <c r="H288" s="262">
        <f>G112</f>
        <v>0</v>
      </c>
      <c r="I288" s="281">
        <v>0</v>
      </c>
      <c r="J288" s="264"/>
      <c r="N288" s="263"/>
      <c r="O288" s="264"/>
      <c r="P288" s="264"/>
      <c r="Q288" s="264"/>
      <c r="R288" s="264"/>
      <c r="S288" s="264"/>
      <c r="T288" s="264"/>
      <c r="U288" s="264"/>
      <c r="V288" s="253"/>
      <c r="W288" s="253"/>
      <c r="X288" s="253"/>
    </row>
    <row r="289" spans="2:24" s="26" customFormat="1" x14ac:dyDescent="0.2">
      <c r="B289" s="886"/>
      <c r="C289" s="278" t="s">
        <v>34</v>
      </c>
      <c r="D289" s="285">
        <v>0</v>
      </c>
      <c r="E289" s="262">
        <v>0</v>
      </c>
      <c r="F289" s="262">
        <f>G113</f>
        <v>0</v>
      </c>
      <c r="G289" s="262">
        <f>G114</f>
        <v>0</v>
      </c>
      <c r="H289" s="262">
        <f>G115</f>
        <v>0</v>
      </c>
      <c r="I289" s="281">
        <v>0</v>
      </c>
      <c r="J289" s="264"/>
      <c r="N289" s="263"/>
      <c r="O289" s="264"/>
      <c r="P289" s="264"/>
      <c r="Q289" s="264"/>
      <c r="R289" s="264"/>
      <c r="S289" s="264"/>
      <c r="T289" s="264"/>
      <c r="U289" s="264"/>
      <c r="V289" s="253"/>
      <c r="W289" s="253"/>
      <c r="X289" s="253"/>
    </row>
    <row r="290" spans="2:24" s="26" customFormat="1" ht="13.5" thickBot="1" x14ac:dyDescent="0.25">
      <c r="B290" s="886"/>
      <c r="C290" s="278" t="s">
        <v>35</v>
      </c>
      <c r="D290" s="285">
        <v>0</v>
      </c>
      <c r="E290" s="262">
        <f>G119</f>
        <v>0</v>
      </c>
      <c r="F290" s="262">
        <v>0</v>
      </c>
      <c r="G290" s="262">
        <f>G120</f>
        <v>0</v>
      </c>
      <c r="H290" s="262">
        <v>0</v>
      </c>
      <c r="I290" s="281">
        <v>0</v>
      </c>
      <c r="J290" s="264"/>
      <c r="N290" s="263"/>
      <c r="O290" s="264"/>
      <c r="P290" s="264"/>
      <c r="Q290" s="264"/>
      <c r="R290" s="264"/>
      <c r="S290" s="264"/>
      <c r="T290" s="264"/>
      <c r="U290" s="264"/>
      <c r="V290" s="253"/>
      <c r="W290" s="253"/>
      <c r="X290" s="253"/>
    </row>
    <row r="291" spans="2:24" s="26" customFormat="1" x14ac:dyDescent="0.2">
      <c r="B291" s="891" t="s">
        <v>348</v>
      </c>
      <c r="C291" s="275" t="s">
        <v>31</v>
      </c>
      <c r="D291" s="276">
        <v>0</v>
      </c>
      <c r="E291" s="252">
        <f>C179</f>
        <v>0</v>
      </c>
      <c r="F291" s="252">
        <v>0</v>
      </c>
      <c r="G291" s="252">
        <v>0</v>
      </c>
      <c r="H291" s="252">
        <v>0</v>
      </c>
      <c r="I291" s="277">
        <v>0</v>
      </c>
      <c r="J291" s="264"/>
      <c r="N291" s="263"/>
      <c r="O291" s="264"/>
      <c r="P291" s="264"/>
      <c r="Q291" s="264"/>
      <c r="R291" s="264"/>
      <c r="S291" s="264"/>
      <c r="T291" s="264"/>
      <c r="U291" s="264"/>
      <c r="V291" s="253"/>
      <c r="W291" s="253"/>
      <c r="X291" s="253"/>
    </row>
    <row r="292" spans="2:24" s="26" customFormat="1" x14ac:dyDescent="0.2">
      <c r="B292" s="892"/>
      <c r="C292" s="278" t="s">
        <v>33</v>
      </c>
      <c r="D292" s="285">
        <v>0</v>
      </c>
      <c r="E292" s="262">
        <v>0</v>
      </c>
      <c r="F292" s="262">
        <f>F186</f>
        <v>0</v>
      </c>
      <c r="G292" s="262">
        <f>H186</f>
        <v>0</v>
      </c>
      <c r="H292" s="262">
        <v>0</v>
      </c>
      <c r="I292" s="281">
        <v>0</v>
      </c>
      <c r="J292" s="264"/>
      <c r="N292" s="263"/>
      <c r="O292" s="264"/>
      <c r="P292" s="264"/>
      <c r="Q292" s="264"/>
      <c r="R292" s="264"/>
      <c r="S292" s="264"/>
      <c r="T292" s="264"/>
      <c r="U292" s="264"/>
      <c r="V292" s="253"/>
      <c r="W292" s="253"/>
      <c r="X292" s="253"/>
    </row>
    <row r="293" spans="2:24" s="26" customFormat="1" x14ac:dyDescent="0.2">
      <c r="B293" s="892"/>
      <c r="C293" s="278" t="s">
        <v>34</v>
      </c>
      <c r="D293" s="285">
        <v>0</v>
      </c>
      <c r="E293" s="262">
        <v>0</v>
      </c>
      <c r="F293" s="262">
        <f>F186</f>
        <v>0</v>
      </c>
      <c r="G293" s="262">
        <f>H186</f>
        <v>0</v>
      </c>
      <c r="H293" s="262">
        <v>0</v>
      </c>
      <c r="I293" s="281">
        <v>0</v>
      </c>
      <c r="J293" s="264"/>
      <c r="N293" s="263"/>
      <c r="O293" s="264"/>
      <c r="P293" s="264"/>
      <c r="Q293" s="264"/>
      <c r="R293" s="264"/>
      <c r="S293" s="264"/>
      <c r="T293" s="264"/>
      <c r="U293" s="264"/>
      <c r="V293" s="253"/>
      <c r="W293" s="253"/>
      <c r="X293" s="253"/>
    </row>
    <row r="294" spans="2:24" s="26" customFormat="1" ht="13.5" thickBot="1" x14ac:dyDescent="0.25">
      <c r="B294" s="893"/>
      <c r="C294" s="282" t="s">
        <v>35</v>
      </c>
      <c r="D294" s="286">
        <v>0</v>
      </c>
      <c r="E294" s="283">
        <f>C189</f>
        <v>0</v>
      </c>
      <c r="F294" s="283">
        <v>0</v>
      </c>
      <c r="G294" s="283">
        <v>0</v>
      </c>
      <c r="H294" s="283">
        <v>0</v>
      </c>
      <c r="I294" s="284">
        <v>0</v>
      </c>
      <c r="J294" s="264"/>
      <c r="N294" s="263"/>
      <c r="O294" s="264"/>
      <c r="P294" s="264"/>
      <c r="Q294" s="264"/>
      <c r="R294" s="264"/>
      <c r="S294" s="264"/>
      <c r="T294" s="264"/>
      <c r="U294" s="264"/>
      <c r="V294" s="253"/>
      <c r="W294" s="253"/>
      <c r="X294" s="253"/>
    </row>
    <row r="295" spans="2:24" s="26" customFormat="1" x14ac:dyDescent="0.2">
      <c r="B295" s="305"/>
      <c r="C295" s="264"/>
      <c r="D295" s="266"/>
      <c r="E295" s="266"/>
      <c r="F295" s="266"/>
      <c r="G295" s="266"/>
      <c r="H295" s="266"/>
      <c r="I295" s="266"/>
      <c r="J295" s="264"/>
      <c r="N295" s="263"/>
      <c r="O295" s="264"/>
      <c r="P295" s="264"/>
      <c r="Q295" s="264"/>
      <c r="R295" s="264"/>
      <c r="S295" s="264"/>
      <c r="T295" s="264"/>
      <c r="U295" s="264"/>
      <c r="V295" s="253"/>
      <c r="W295" s="253"/>
      <c r="X295" s="253"/>
    </row>
    <row r="296" spans="2:24" s="26" customFormat="1" ht="13.5" thickBot="1" x14ac:dyDescent="0.25">
      <c r="B296" s="261" t="s">
        <v>782</v>
      </c>
      <c r="C296" s="22"/>
      <c r="D296" s="22"/>
      <c r="E296" s="22"/>
      <c r="F296" s="22"/>
      <c r="G296" s="22"/>
      <c r="H296" s="22"/>
      <c r="I296" s="22"/>
      <c r="N296" s="263"/>
      <c r="O296" s="264"/>
      <c r="P296" s="264"/>
      <c r="Q296" s="264"/>
      <c r="R296" s="264"/>
      <c r="S296" s="264"/>
      <c r="T296" s="264"/>
      <c r="U296" s="264"/>
      <c r="V296" s="253"/>
      <c r="W296" s="253"/>
      <c r="X296" s="253"/>
    </row>
    <row r="297" spans="2:24" s="26" customFormat="1" ht="26.25" thickBot="1" x14ac:dyDescent="0.25">
      <c r="B297" s="264"/>
      <c r="C297" s="287" t="s">
        <v>338</v>
      </c>
      <c r="D297" s="288" t="s">
        <v>333</v>
      </c>
      <c r="E297" s="288" t="s">
        <v>334</v>
      </c>
      <c r="F297" s="288" t="s">
        <v>335</v>
      </c>
      <c r="G297" s="288" t="s">
        <v>337</v>
      </c>
      <c r="H297" s="289" t="s">
        <v>336</v>
      </c>
      <c r="I297" s="22"/>
      <c r="N297" s="263"/>
      <c r="O297" s="264"/>
      <c r="P297" s="264"/>
      <c r="Q297" s="264"/>
      <c r="R297" s="264"/>
      <c r="S297" s="264"/>
      <c r="T297" s="264"/>
      <c r="U297" s="264"/>
      <c r="V297" s="253"/>
      <c r="W297" s="253"/>
      <c r="X297" s="253"/>
    </row>
    <row r="298" spans="2:24" s="26" customFormat="1" x14ac:dyDescent="0.2">
      <c r="B298" s="275" t="s">
        <v>31</v>
      </c>
      <c r="C298" s="290">
        <f t="shared" ref="C298:H301" si="16">SUM(D283,D287,D291)</f>
        <v>0</v>
      </c>
      <c r="D298" s="291">
        <f t="shared" si="16"/>
        <v>274.76319335937501</v>
      </c>
      <c r="E298" s="291">
        <f t="shared" si="16"/>
        <v>0</v>
      </c>
      <c r="F298" s="291">
        <f t="shared" si="16"/>
        <v>0</v>
      </c>
      <c r="G298" s="291">
        <f t="shared" si="16"/>
        <v>0</v>
      </c>
      <c r="H298" s="292">
        <f t="shared" si="16"/>
        <v>0</v>
      </c>
      <c r="I298" s="22"/>
      <c r="N298" s="263"/>
      <c r="O298" s="264"/>
      <c r="P298" s="264"/>
      <c r="Q298" s="264"/>
      <c r="R298" s="264"/>
      <c r="S298" s="264"/>
      <c r="T298" s="264"/>
      <c r="U298" s="264"/>
      <c r="V298" s="253"/>
      <c r="W298" s="253"/>
      <c r="X298" s="253"/>
    </row>
    <row r="299" spans="2:24" s="26" customFormat="1" x14ac:dyDescent="0.2">
      <c r="B299" s="278" t="s">
        <v>33</v>
      </c>
      <c r="C299" s="210">
        <f t="shared" si="16"/>
        <v>0</v>
      </c>
      <c r="D299" s="67">
        <f t="shared" si="16"/>
        <v>0</v>
      </c>
      <c r="E299" s="67">
        <f t="shared" si="16"/>
        <v>241.51898456570132</v>
      </c>
      <c r="F299" s="67">
        <f t="shared" si="16"/>
        <v>2898.2278147884158</v>
      </c>
      <c r="G299" s="67">
        <f t="shared" si="16"/>
        <v>0</v>
      </c>
      <c r="H299" s="299">
        <f t="shared" si="16"/>
        <v>0</v>
      </c>
      <c r="I299" s="22"/>
      <c r="N299" s="263"/>
      <c r="O299" s="264"/>
      <c r="P299" s="264"/>
      <c r="Q299" s="264"/>
      <c r="R299" s="264"/>
      <c r="S299" s="264"/>
      <c r="T299" s="264"/>
      <c r="U299" s="264"/>
      <c r="V299" s="253"/>
      <c r="W299" s="253"/>
      <c r="X299" s="253"/>
    </row>
    <row r="300" spans="2:24" s="26" customFormat="1" x14ac:dyDescent="0.2">
      <c r="B300" s="278" t="s">
        <v>34</v>
      </c>
      <c r="C300" s="210">
        <f t="shared" si="16"/>
        <v>0</v>
      </c>
      <c r="D300" s="67">
        <f t="shared" si="16"/>
        <v>0</v>
      </c>
      <c r="E300" s="67">
        <f t="shared" si="16"/>
        <v>241.51898456570134</v>
      </c>
      <c r="F300" s="67">
        <f t="shared" si="16"/>
        <v>2898.2278147884153</v>
      </c>
      <c r="G300" s="67">
        <f t="shared" si="16"/>
        <v>0</v>
      </c>
      <c r="H300" s="299">
        <f t="shared" si="16"/>
        <v>0</v>
      </c>
      <c r="I300" s="22"/>
      <c r="J300" s="294"/>
      <c r="N300" s="263"/>
      <c r="O300" s="264"/>
      <c r="P300" s="264"/>
      <c r="Q300" s="264"/>
      <c r="R300" s="264"/>
      <c r="S300" s="264"/>
      <c r="T300" s="264"/>
      <c r="U300" s="264"/>
      <c r="V300" s="253"/>
      <c r="W300" s="253"/>
      <c r="X300" s="253"/>
    </row>
    <row r="301" spans="2:24" s="26" customFormat="1" ht="13.5" thickBot="1" x14ac:dyDescent="0.25">
      <c r="B301" s="282" t="s">
        <v>35</v>
      </c>
      <c r="C301" s="229">
        <f t="shared" si="16"/>
        <v>0</v>
      </c>
      <c r="D301" s="300">
        <f t="shared" si="16"/>
        <v>85.278179856110199</v>
      </c>
      <c r="E301" s="300">
        <f t="shared" si="16"/>
        <v>0</v>
      </c>
      <c r="F301" s="300">
        <f t="shared" si="16"/>
        <v>0</v>
      </c>
      <c r="G301" s="300">
        <f t="shared" si="16"/>
        <v>0</v>
      </c>
      <c r="H301" s="301">
        <f t="shared" si="16"/>
        <v>0</v>
      </c>
      <c r="I301" s="22"/>
      <c r="N301" s="263"/>
      <c r="O301" s="264"/>
      <c r="P301" s="264"/>
      <c r="Q301" s="264"/>
      <c r="R301" s="264"/>
      <c r="S301" s="264"/>
      <c r="T301" s="264"/>
      <c r="U301" s="264"/>
      <c r="V301" s="253"/>
      <c r="W301" s="253"/>
      <c r="X301" s="253"/>
    </row>
    <row r="302" spans="2:24" s="26" customFormat="1" x14ac:dyDescent="0.2">
      <c r="B302" s="264"/>
      <c r="C302" s="78"/>
      <c r="D302" s="78"/>
      <c r="E302" s="78"/>
      <c r="F302" s="78"/>
      <c r="G302" s="78"/>
      <c r="H302" s="78"/>
      <c r="I302" s="22"/>
      <c r="N302" s="263"/>
      <c r="O302" s="264"/>
      <c r="P302" s="264"/>
      <c r="Q302" s="264"/>
      <c r="R302" s="264"/>
      <c r="S302" s="264"/>
      <c r="T302" s="264"/>
      <c r="U302" s="264"/>
      <c r="V302" s="253"/>
      <c r="W302" s="253"/>
      <c r="X302" s="253"/>
    </row>
    <row r="303" spans="2:24" s="26" customFormat="1" ht="13.5" thickBot="1" x14ac:dyDescent="0.25">
      <c r="B303" s="263" t="s">
        <v>752</v>
      </c>
      <c r="C303" s="78"/>
      <c r="D303" s="78"/>
      <c r="E303" s="78"/>
      <c r="F303" s="78"/>
      <c r="G303" s="78"/>
      <c r="H303" s="78"/>
      <c r="I303" s="22"/>
      <c r="N303" s="263"/>
      <c r="O303" s="264"/>
      <c r="P303" s="264"/>
      <c r="Q303" s="264"/>
      <c r="R303" s="264"/>
      <c r="S303" s="264"/>
      <c r="T303" s="264"/>
      <c r="U303" s="264"/>
      <c r="V303" s="253"/>
      <c r="W303" s="253"/>
      <c r="X303" s="253"/>
    </row>
    <row r="304" spans="2:24" s="26" customFormat="1" ht="26.25" thickBot="1" x14ac:dyDescent="0.25">
      <c r="B304" s="264"/>
      <c r="C304" s="287" t="s">
        <v>338</v>
      </c>
      <c r="D304" s="288" t="s">
        <v>333</v>
      </c>
      <c r="E304" s="288" t="s">
        <v>334</v>
      </c>
      <c r="F304" s="288" t="s">
        <v>335</v>
      </c>
      <c r="G304" s="288" t="s">
        <v>337</v>
      </c>
      <c r="H304" s="289" t="s">
        <v>336</v>
      </c>
      <c r="I304" s="22"/>
      <c r="N304" s="263"/>
      <c r="O304" s="264"/>
      <c r="P304" s="264"/>
      <c r="Q304" s="264"/>
      <c r="R304" s="264"/>
      <c r="S304" s="264"/>
      <c r="T304" s="264"/>
      <c r="U304" s="264"/>
      <c r="V304" s="253"/>
      <c r="W304" s="253"/>
      <c r="X304" s="253"/>
    </row>
    <row r="305" spans="2:24" s="26" customFormat="1" x14ac:dyDescent="0.2">
      <c r="B305" s="275" t="s">
        <v>36</v>
      </c>
      <c r="C305" s="276">
        <v>0</v>
      </c>
      <c r="D305" s="252">
        <f>D153</f>
        <v>125</v>
      </c>
      <c r="E305" s="252">
        <f>D151</f>
        <v>500</v>
      </c>
      <c r="F305" s="252">
        <f>D152</f>
        <v>10750</v>
      </c>
      <c r="G305" s="252">
        <v>0</v>
      </c>
      <c r="H305" s="277">
        <v>0</v>
      </c>
      <c r="N305" s="263"/>
      <c r="O305" s="264"/>
      <c r="P305" s="264"/>
      <c r="Q305" s="264"/>
      <c r="R305" s="264"/>
      <c r="S305" s="264"/>
      <c r="T305" s="264"/>
      <c r="U305" s="264"/>
      <c r="V305" s="253"/>
      <c r="W305" s="253"/>
      <c r="X305" s="253"/>
    </row>
    <row r="306" spans="2:24" s="26" customFormat="1" x14ac:dyDescent="0.2">
      <c r="B306" s="278" t="s">
        <v>37</v>
      </c>
      <c r="C306" s="285">
        <v>0</v>
      </c>
      <c r="D306" s="262">
        <f>D160</f>
        <v>200</v>
      </c>
      <c r="E306" s="262">
        <f>D158</f>
        <v>1000</v>
      </c>
      <c r="F306" s="262">
        <f>D159</f>
        <v>21500</v>
      </c>
      <c r="G306" s="262">
        <v>0</v>
      </c>
      <c r="H306" s="281">
        <v>0</v>
      </c>
      <c r="N306" s="263"/>
      <c r="O306" s="264"/>
      <c r="P306" s="264"/>
      <c r="Q306" s="264"/>
      <c r="R306" s="264"/>
      <c r="S306" s="264"/>
      <c r="T306" s="264"/>
      <c r="U306" s="264"/>
      <c r="V306" s="253"/>
      <c r="W306" s="253"/>
      <c r="X306" s="253"/>
    </row>
    <row r="307" spans="2:24" s="26" customFormat="1" ht="13.5" thickBot="1" x14ac:dyDescent="0.25">
      <c r="B307" s="282" t="s">
        <v>38</v>
      </c>
      <c r="C307" s="286">
        <v>0</v>
      </c>
      <c r="D307" s="283">
        <f>D167</f>
        <v>200</v>
      </c>
      <c r="E307" s="283">
        <f>D165</f>
        <v>1000</v>
      </c>
      <c r="F307" s="283">
        <f>D166</f>
        <v>21500</v>
      </c>
      <c r="G307" s="283">
        <v>0</v>
      </c>
      <c r="H307" s="284">
        <v>0</v>
      </c>
      <c r="N307" s="263"/>
      <c r="O307" s="264"/>
      <c r="P307" s="264"/>
      <c r="Q307" s="264"/>
      <c r="R307" s="264"/>
      <c r="S307" s="264"/>
      <c r="T307" s="264"/>
      <c r="U307" s="264"/>
      <c r="V307" s="253"/>
      <c r="W307" s="253"/>
      <c r="X307" s="253"/>
    </row>
    <row r="308" spans="2:24" s="26" customFormat="1" x14ac:dyDescent="0.2">
      <c r="B308" s="264"/>
      <c r="C308" s="266"/>
      <c r="D308" s="266"/>
      <c r="E308" s="266"/>
      <c r="F308" s="266"/>
      <c r="G308" s="266"/>
      <c r="H308" s="266"/>
      <c r="N308" s="263"/>
      <c r="O308" s="264"/>
      <c r="P308" s="264"/>
      <c r="Q308" s="264"/>
      <c r="R308" s="264"/>
      <c r="S308" s="264"/>
      <c r="T308" s="264"/>
      <c r="U308" s="264"/>
      <c r="V308" s="253"/>
      <c r="W308" s="253"/>
      <c r="X308" s="253"/>
    </row>
    <row r="309" spans="2:24" s="26" customFormat="1" ht="13.5" thickBot="1" x14ac:dyDescent="0.25">
      <c r="B309" s="263" t="s">
        <v>781</v>
      </c>
      <c r="C309" s="22"/>
      <c r="D309" s="22"/>
      <c r="E309" s="22"/>
      <c r="F309" s="22"/>
      <c r="G309" s="22"/>
      <c r="H309" s="22"/>
      <c r="I309" s="878" t="s">
        <v>341</v>
      </c>
      <c r="J309" s="878"/>
      <c r="N309" s="263"/>
      <c r="O309" s="264"/>
      <c r="P309" s="264"/>
      <c r="Q309" s="264"/>
      <c r="R309" s="264"/>
      <c r="S309" s="264"/>
      <c r="T309" s="264"/>
      <c r="U309" s="264"/>
      <c r="V309" s="253"/>
      <c r="W309" s="253"/>
      <c r="X309" s="253"/>
    </row>
    <row r="310" spans="2:24" s="26" customFormat="1" ht="26.25" thickBot="1" x14ac:dyDescent="0.25">
      <c r="B310" s="22"/>
      <c r="C310" s="287" t="s">
        <v>338</v>
      </c>
      <c r="D310" s="288" t="s">
        <v>333</v>
      </c>
      <c r="E310" s="288" t="s">
        <v>334</v>
      </c>
      <c r="F310" s="288" t="s">
        <v>335</v>
      </c>
      <c r="G310" s="288" t="s">
        <v>337</v>
      </c>
      <c r="H310" s="289" t="s">
        <v>336</v>
      </c>
      <c r="I310" s="701" t="s">
        <v>340</v>
      </c>
      <c r="J310" s="702" t="s">
        <v>339</v>
      </c>
      <c r="N310" s="263"/>
      <c r="O310" s="264"/>
      <c r="P310" s="264"/>
      <c r="Q310" s="264"/>
      <c r="R310" s="264"/>
      <c r="S310" s="264"/>
      <c r="T310" s="264"/>
      <c r="U310" s="264"/>
      <c r="V310" s="253"/>
      <c r="W310" s="253"/>
      <c r="X310" s="253"/>
    </row>
    <row r="311" spans="2:24" s="26" customFormat="1" x14ac:dyDescent="0.2">
      <c r="B311" s="693" t="s">
        <v>36</v>
      </c>
      <c r="C311" s="254">
        <f t="shared" ref="C311:H311" si="17">C298+C305</f>
        <v>0</v>
      </c>
      <c r="D311" s="251">
        <f t="shared" si="17"/>
        <v>399.76319335937501</v>
      </c>
      <c r="E311" s="251">
        <f t="shared" si="17"/>
        <v>500</v>
      </c>
      <c r="F311" s="251">
        <f t="shared" si="17"/>
        <v>10750</v>
      </c>
      <c r="G311" s="251">
        <f t="shared" si="17"/>
        <v>0</v>
      </c>
      <c r="H311" s="255">
        <f t="shared" si="17"/>
        <v>0</v>
      </c>
      <c r="I311" s="699">
        <f>SQRT(C311^2+E311^2)</f>
        <v>500</v>
      </c>
      <c r="J311" s="700">
        <f>SQRT(F311^2+H311^2)</f>
        <v>10750</v>
      </c>
      <c r="N311" s="263"/>
      <c r="O311" s="264"/>
      <c r="P311" s="264"/>
      <c r="Q311" s="264"/>
      <c r="R311" s="264"/>
      <c r="S311" s="264"/>
      <c r="T311" s="264"/>
      <c r="U311" s="264"/>
      <c r="V311" s="253"/>
      <c r="W311" s="253"/>
      <c r="X311" s="253"/>
    </row>
    <row r="312" spans="2:24" s="26" customFormat="1" x14ac:dyDescent="0.2">
      <c r="B312" s="694" t="s">
        <v>37</v>
      </c>
      <c r="C312" s="256">
        <f t="shared" ref="C312:H312" si="18">0.75*(C298+C299+C306)</f>
        <v>0</v>
      </c>
      <c r="D312" s="82">
        <f t="shared" si="18"/>
        <v>356.07239501953126</v>
      </c>
      <c r="E312" s="82">
        <f t="shared" si="18"/>
        <v>931.13923842427607</v>
      </c>
      <c r="F312" s="82">
        <f t="shared" si="18"/>
        <v>18298.670861091312</v>
      </c>
      <c r="G312" s="82">
        <f t="shared" si="18"/>
        <v>0</v>
      </c>
      <c r="H312" s="257">
        <f t="shared" si="18"/>
        <v>0</v>
      </c>
      <c r="I312" s="256">
        <f>SQRT(C312^2+E312^2)</f>
        <v>931.13923842427607</v>
      </c>
      <c r="J312" s="257">
        <f>SQRT(F312^2+H312^2)</f>
        <v>18298.670861091312</v>
      </c>
      <c r="N312" s="263"/>
      <c r="O312" s="264"/>
      <c r="P312" s="264"/>
      <c r="Q312" s="264"/>
      <c r="R312" s="264"/>
      <c r="S312" s="264"/>
      <c r="T312" s="264"/>
      <c r="U312" s="264"/>
      <c r="V312" s="253"/>
      <c r="W312" s="253"/>
      <c r="X312" s="253"/>
    </row>
    <row r="313" spans="2:24" s="26" customFormat="1" ht="13.5" thickBot="1" x14ac:dyDescent="0.25">
      <c r="B313" s="695" t="s">
        <v>38</v>
      </c>
      <c r="C313" s="258">
        <f t="shared" ref="C313:H313" si="19">0.75*(C298+0.5*C300+C301+C307)</f>
        <v>0</v>
      </c>
      <c r="D313" s="259">
        <f t="shared" si="19"/>
        <v>420.03102991161393</v>
      </c>
      <c r="E313" s="259">
        <f t="shared" si="19"/>
        <v>840.56961921213804</v>
      </c>
      <c r="F313" s="259">
        <f t="shared" si="19"/>
        <v>17211.835430545656</v>
      </c>
      <c r="G313" s="259">
        <f t="shared" si="19"/>
        <v>0</v>
      </c>
      <c r="H313" s="260">
        <f t="shared" si="19"/>
        <v>0</v>
      </c>
      <c r="I313" s="258">
        <f>SQRT(C313^2+E313^2)</f>
        <v>840.56961921213804</v>
      </c>
      <c r="J313" s="260">
        <f>SQRT(F313^2+H313^2)</f>
        <v>17211.835430545656</v>
      </c>
      <c r="N313" s="263"/>
      <c r="O313" s="264"/>
      <c r="P313" s="264"/>
      <c r="Q313" s="264"/>
      <c r="R313" s="264"/>
      <c r="S313" s="264"/>
      <c r="T313" s="264"/>
      <c r="U313" s="264"/>
      <c r="V313" s="253"/>
      <c r="W313" s="253"/>
      <c r="X313" s="253"/>
    </row>
    <row r="314" spans="2:24" s="26" customFormat="1" ht="13.5" thickBot="1" x14ac:dyDescent="0.25">
      <c r="D314" s="68"/>
      <c r="E314" s="298"/>
      <c r="F314" s="253"/>
      <c r="G314" s="212"/>
      <c r="H314" s="80"/>
      <c r="I314" s="253"/>
      <c r="N314" s="263"/>
      <c r="O314" s="264"/>
      <c r="P314" s="264"/>
      <c r="Q314" s="264"/>
      <c r="R314" s="264"/>
      <c r="S314" s="264"/>
      <c r="T314" s="264"/>
      <c r="U314" s="264"/>
      <c r="V314" s="253"/>
      <c r="W314" s="253"/>
      <c r="X314" s="253"/>
    </row>
    <row r="315" spans="2:24" s="26" customFormat="1" ht="27.75" thickBot="1" x14ac:dyDescent="0.25">
      <c r="C315" s="287" t="s">
        <v>342</v>
      </c>
      <c r="D315" s="288" t="s">
        <v>343</v>
      </c>
      <c r="E315" s="288" t="s">
        <v>344</v>
      </c>
      <c r="F315" s="288" t="s">
        <v>345</v>
      </c>
      <c r="G315" s="288" t="s">
        <v>346</v>
      </c>
      <c r="H315" s="288" t="s">
        <v>359</v>
      </c>
      <c r="I315" s="289" t="s">
        <v>347</v>
      </c>
      <c r="N315" s="263"/>
      <c r="O315" s="264"/>
      <c r="P315" s="264"/>
      <c r="Q315" s="264"/>
      <c r="R315" s="264"/>
      <c r="S315" s="264"/>
      <c r="T315" s="264"/>
      <c r="U315" s="264"/>
      <c r="V315" s="253"/>
      <c r="W315" s="253"/>
      <c r="X315" s="253"/>
    </row>
    <row r="316" spans="2:24" s="26" customFormat="1" x14ac:dyDescent="0.2">
      <c r="B316" s="295" t="s">
        <v>36</v>
      </c>
      <c r="C316" s="290">
        <f>F311*12/$G$44</f>
        <v>16180.820910075226</v>
      </c>
      <c r="D316" s="291">
        <f>H311*12/$G$44</f>
        <v>0</v>
      </c>
      <c r="E316" s="291">
        <f>HLOOKUP($B$18,'Maximum Stress Tables'!$A$15:$H$18,2,0)</f>
        <v>16180.820910075226</v>
      </c>
      <c r="F316" s="291">
        <f>VLOOKUP($B$18,'Pick List Data'!$A$74:$I$78,8,0)*I311/$D$41</f>
        <v>125.22621988938889</v>
      </c>
      <c r="G316" s="291">
        <f>G311*12*$F$29/(VLOOKUP($B$18,'Pick List Data'!$A$74:$I$78,9,0)*$F$22^2*$B$24)</f>
        <v>0</v>
      </c>
      <c r="H316" s="346">
        <f>F316+G316</f>
        <v>125.22621988938889</v>
      </c>
      <c r="I316" s="292">
        <f>D311/$D$41</f>
        <v>49.442798573141118</v>
      </c>
      <c r="N316" s="263"/>
      <c r="O316" s="264"/>
      <c r="P316" s="264"/>
      <c r="Q316" s="264"/>
      <c r="R316" s="264"/>
      <c r="S316" s="264"/>
      <c r="T316" s="264"/>
      <c r="U316" s="264"/>
      <c r="V316" s="253"/>
      <c r="W316" s="253"/>
      <c r="X316" s="253"/>
    </row>
    <row r="317" spans="2:24" s="26" customFormat="1" x14ac:dyDescent="0.2">
      <c r="B317" s="296" t="s">
        <v>37</v>
      </c>
      <c r="C317" s="210">
        <f>F312*12/$G$44</f>
        <v>27543.024753091217</v>
      </c>
      <c r="D317" s="67">
        <f>H312*12/$G$44</f>
        <v>0</v>
      </c>
      <c r="E317" s="67">
        <f>HLOOKUP($B$18,'Maximum Stress Tables'!$A$15:$H$18,3,0)</f>
        <v>27543.024753091217</v>
      </c>
      <c r="F317" s="67">
        <f>VLOOKUP($B$18,'Pick List Data'!$A$74:$I$78,8,0)*I312/$D$41</f>
        <v>233.20609403711299</v>
      </c>
      <c r="G317" s="67">
        <f>G312*12*$F$29/(VLOOKUP($B$18,'Pick List Data'!$A$74:$I$78,9,0)*$F$22^2*$B$24)</f>
        <v>0</v>
      </c>
      <c r="H317" s="345">
        <f>F317+G317</f>
        <v>233.20609403711299</v>
      </c>
      <c r="I317" s="299">
        <f>D312/$D$41</f>
        <v>44.039111145932999</v>
      </c>
      <c r="N317" s="263"/>
      <c r="O317" s="264"/>
      <c r="P317" s="264"/>
      <c r="Q317" s="264"/>
      <c r="R317" s="264"/>
      <c r="S317" s="264"/>
      <c r="T317" s="264"/>
      <c r="U317" s="264"/>
      <c r="V317" s="253"/>
      <c r="W317" s="253"/>
      <c r="X317" s="253"/>
    </row>
    <row r="318" spans="2:24" s="26" customFormat="1" ht="13.5" thickBot="1" x14ac:dyDescent="0.25">
      <c r="B318" s="297" t="s">
        <v>38</v>
      </c>
      <c r="C318" s="229">
        <f>F313*12/$G$44</f>
        <v>25907.128059102026</v>
      </c>
      <c r="D318" s="300">
        <f>H313*12/$G$44</f>
        <v>0</v>
      </c>
      <c r="E318" s="300">
        <f>HLOOKUP($B$18,'Maximum Stress Tables'!$A$15:$H$18,4,0)</f>
        <v>25907.128059102026</v>
      </c>
      <c r="F318" s="300">
        <f>VLOOKUP($B$18,'Pick List Data'!$A$74:$I$78,8,0)*I313/$D$41</f>
        <v>210.52271193559815</v>
      </c>
      <c r="G318" s="300">
        <f>G313*12*$F$29/(VLOOKUP($B$18,'Pick List Data'!$A$74:$I$78,9,0)*$F$22^2*$B$24)</f>
        <v>0</v>
      </c>
      <c r="H318" s="347">
        <f>F318+G318</f>
        <v>210.52271193559815</v>
      </c>
      <c r="I318" s="301">
        <f>D313/$D$41</f>
        <v>51.949528999583457</v>
      </c>
      <c r="N318" s="263"/>
      <c r="O318" s="264"/>
      <c r="P318" s="264"/>
      <c r="Q318" s="264"/>
      <c r="R318" s="264"/>
      <c r="S318" s="264"/>
      <c r="T318" s="264"/>
      <c r="U318" s="264"/>
      <c r="V318" s="253"/>
      <c r="W318" s="253"/>
      <c r="X318" s="253"/>
    </row>
    <row r="319" spans="2:24" s="26" customFormat="1" x14ac:dyDescent="0.2">
      <c r="B319" s="263"/>
      <c r="C319" s="78"/>
      <c r="D319" s="78"/>
      <c r="E319" s="78"/>
      <c r="F319" s="78"/>
      <c r="G319" s="78"/>
      <c r="H319" s="519"/>
      <c r="I319" s="78"/>
      <c r="N319" s="263"/>
      <c r="O319" s="264"/>
      <c r="P319" s="264"/>
      <c r="Q319" s="264"/>
      <c r="R319" s="264"/>
      <c r="S319" s="264"/>
      <c r="T319" s="264"/>
      <c r="U319" s="264"/>
      <c r="V319" s="253"/>
      <c r="W319" s="253"/>
      <c r="X319" s="253"/>
    </row>
    <row r="320" spans="2:24" s="26" customFormat="1" ht="15.75" x14ac:dyDescent="0.2">
      <c r="B320" s="552" t="s">
        <v>465</v>
      </c>
      <c r="C320" s="550" t="s">
        <v>473</v>
      </c>
      <c r="D320" s="78"/>
      <c r="E320" s="78"/>
      <c r="F320" s="552" t="s">
        <v>468</v>
      </c>
      <c r="G320" s="551" t="s">
        <v>463</v>
      </c>
      <c r="H320" s="519"/>
      <c r="I320" s="78"/>
      <c r="N320" s="263"/>
      <c r="O320" s="264"/>
      <c r="P320" s="264"/>
      <c r="Q320" s="264"/>
      <c r="R320" s="264"/>
      <c r="S320" s="264"/>
      <c r="T320" s="264"/>
      <c r="U320" s="264"/>
      <c r="V320" s="253"/>
      <c r="W320" s="253"/>
      <c r="X320" s="253"/>
    </row>
    <row r="321" spans="1:24" s="26" customFormat="1" ht="15.75" x14ac:dyDescent="0.2">
      <c r="B321" s="552" t="s">
        <v>466</v>
      </c>
      <c r="C321" s="550" t="s">
        <v>474</v>
      </c>
      <c r="D321" s="78"/>
      <c r="E321" s="78"/>
      <c r="F321" s="552" t="s">
        <v>469</v>
      </c>
      <c r="G321" s="551" t="s">
        <v>519</v>
      </c>
      <c r="H321" s="519"/>
      <c r="I321" s="78"/>
      <c r="N321" s="263"/>
      <c r="O321" s="264"/>
      <c r="P321" s="264"/>
      <c r="Q321" s="264"/>
      <c r="R321" s="264"/>
      <c r="S321" s="264"/>
      <c r="T321" s="264"/>
      <c r="U321" s="264"/>
      <c r="V321" s="253"/>
      <c r="W321" s="253"/>
      <c r="X321" s="253"/>
    </row>
    <row r="322" spans="1:24" s="26" customFormat="1" ht="15.75" x14ac:dyDescent="0.2">
      <c r="B322" s="552" t="s">
        <v>467</v>
      </c>
      <c r="C322" s="550" t="s">
        <v>462</v>
      </c>
      <c r="D322" s="78"/>
      <c r="E322" s="78"/>
      <c r="F322" s="552" t="s">
        <v>470</v>
      </c>
      <c r="G322" s="551" t="s">
        <v>472</v>
      </c>
      <c r="H322" s="519"/>
      <c r="I322" s="78"/>
      <c r="N322" s="263"/>
      <c r="O322" s="264"/>
      <c r="P322" s="264"/>
      <c r="Q322" s="264"/>
      <c r="R322" s="264"/>
      <c r="S322" s="264"/>
      <c r="T322" s="264"/>
      <c r="U322" s="264"/>
      <c r="V322" s="253"/>
      <c r="W322" s="253"/>
      <c r="X322" s="253"/>
    </row>
    <row r="323" spans="1:24" s="26" customFormat="1" ht="14.25" x14ac:dyDescent="0.2">
      <c r="B323" s="78"/>
      <c r="C323" s="78"/>
      <c r="D323" s="78"/>
      <c r="E323" s="78"/>
      <c r="F323" s="552" t="s">
        <v>471</v>
      </c>
      <c r="G323" s="551" t="s">
        <v>464</v>
      </c>
      <c r="H323" s="519"/>
      <c r="I323" s="78"/>
      <c r="N323" s="263"/>
      <c r="O323" s="264"/>
      <c r="P323" s="264"/>
      <c r="Q323" s="264"/>
      <c r="R323" s="264"/>
      <c r="S323" s="264"/>
      <c r="T323" s="264"/>
      <c r="U323" s="264"/>
      <c r="V323" s="253"/>
      <c r="W323" s="253"/>
      <c r="X323" s="253"/>
    </row>
    <row r="324" spans="1:24" s="26" customFormat="1" ht="13.5" thickBot="1" x14ac:dyDescent="0.25">
      <c r="A324" s="270" t="s">
        <v>648</v>
      </c>
      <c r="C324" s="22"/>
      <c r="D324" s="22"/>
      <c r="E324" s="22"/>
      <c r="F324" s="22"/>
      <c r="G324" s="22"/>
      <c r="H324" s="22"/>
      <c r="I324" s="22"/>
      <c r="N324" s="263"/>
      <c r="O324" s="264"/>
      <c r="P324" s="264"/>
      <c r="Q324" s="264"/>
      <c r="R324" s="264"/>
      <c r="S324" s="264"/>
      <c r="T324" s="264"/>
      <c r="U324" s="264"/>
      <c r="V324" s="253"/>
      <c r="W324" s="253"/>
      <c r="X324" s="253"/>
    </row>
    <row r="325" spans="1:24" s="26" customFormat="1" ht="26.25" thickBot="1" x14ac:dyDescent="0.25">
      <c r="C325" s="271" t="s">
        <v>282</v>
      </c>
      <c r="D325" s="272" t="s">
        <v>338</v>
      </c>
      <c r="E325" s="273" t="s">
        <v>333</v>
      </c>
      <c r="F325" s="273" t="s">
        <v>334</v>
      </c>
      <c r="G325" s="273" t="s">
        <v>335</v>
      </c>
      <c r="H325" s="273" t="s">
        <v>337</v>
      </c>
      <c r="I325" s="274" t="s">
        <v>336</v>
      </c>
      <c r="J325" s="269"/>
      <c r="N325" s="263"/>
      <c r="O325" s="264"/>
      <c r="P325" s="264"/>
      <c r="Q325" s="264"/>
      <c r="R325" s="264"/>
      <c r="S325" s="264"/>
      <c r="T325" s="264"/>
      <c r="U325" s="264"/>
      <c r="V325" s="253"/>
      <c r="W325" s="253"/>
      <c r="X325" s="253"/>
    </row>
    <row r="326" spans="1:24" s="26" customFormat="1" x14ac:dyDescent="0.2">
      <c r="B326" s="894" t="s">
        <v>332</v>
      </c>
      <c r="C326" s="275" t="s">
        <v>31</v>
      </c>
      <c r="D326" s="276">
        <v>0</v>
      </c>
      <c r="E326" s="252">
        <f>F68</f>
        <v>299.97289583333333</v>
      </c>
      <c r="F326" s="252">
        <v>0</v>
      </c>
      <c r="G326" s="252">
        <v>0</v>
      </c>
      <c r="H326" s="252">
        <v>0</v>
      </c>
      <c r="I326" s="277">
        <v>0</v>
      </c>
      <c r="N326" s="263"/>
      <c r="O326" s="264"/>
      <c r="P326" s="264"/>
      <c r="Q326" s="264"/>
      <c r="R326" s="264"/>
      <c r="S326" s="264"/>
      <c r="T326" s="264"/>
      <c r="U326" s="264"/>
      <c r="V326" s="253"/>
      <c r="W326" s="253"/>
      <c r="X326" s="253"/>
    </row>
    <row r="327" spans="1:24" s="26" customFormat="1" x14ac:dyDescent="0.2">
      <c r="B327" s="895"/>
      <c r="C327" s="278" t="s">
        <v>33</v>
      </c>
      <c r="D327" s="279">
        <v>0</v>
      </c>
      <c r="E327" s="262">
        <v>0</v>
      </c>
      <c r="F327" s="280">
        <f>F80</f>
        <v>257.62025020341474</v>
      </c>
      <c r="G327" s="262">
        <f>F81</f>
        <v>3091.4430024409767</v>
      </c>
      <c r="H327" s="262">
        <v>0</v>
      </c>
      <c r="I327" s="281">
        <v>0</v>
      </c>
      <c r="J327" s="264"/>
      <c r="N327" s="263"/>
      <c r="O327" s="264"/>
      <c r="P327" s="264"/>
      <c r="Q327" s="264"/>
      <c r="R327" s="264"/>
      <c r="S327" s="264"/>
      <c r="T327" s="264"/>
      <c r="U327" s="264"/>
      <c r="V327" s="253"/>
      <c r="W327" s="253"/>
      <c r="X327" s="253"/>
    </row>
    <row r="328" spans="1:24" s="26" customFormat="1" x14ac:dyDescent="0.2">
      <c r="B328" s="895"/>
      <c r="C328" s="278" t="s">
        <v>34</v>
      </c>
      <c r="D328" s="279">
        <v>0</v>
      </c>
      <c r="E328" s="262">
        <v>0</v>
      </c>
      <c r="F328" s="280">
        <f>F82</f>
        <v>257.62025020341474</v>
      </c>
      <c r="G328" s="262">
        <f>F83</f>
        <v>3091.4430024409767</v>
      </c>
      <c r="H328" s="262">
        <v>0</v>
      </c>
      <c r="I328" s="281">
        <v>0</v>
      </c>
      <c r="J328" s="264"/>
      <c r="N328" s="263"/>
      <c r="O328" s="264"/>
      <c r="P328" s="264"/>
      <c r="Q328" s="264"/>
      <c r="R328" s="264"/>
      <c r="S328" s="264"/>
      <c r="T328" s="264"/>
      <c r="U328" s="264"/>
      <c r="V328" s="253"/>
      <c r="W328" s="253"/>
      <c r="X328" s="253"/>
    </row>
    <row r="329" spans="1:24" s="26" customFormat="1" ht="13.5" thickBot="1" x14ac:dyDescent="0.25">
      <c r="B329" s="895"/>
      <c r="C329" s="278" t="s">
        <v>35</v>
      </c>
      <c r="D329" s="279">
        <v>0</v>
      </c>
      <c r="E329" s="262">
        <f>F88</f>
        <v>92.989087741296828</v>
      </c>
      <c r="F329" s="280">
        <v>0</v>
      </c>
      <c r="G329" s="262">
        <v>0</v>
      </c>
      <c r="H329" s="262">
        <v>0</v>
      </c>
      <c r="I329" s="281">
        <v>0</v>
      </c>
      <c r="J329" s="264"/>
      <c r="N329" s="263"/>
      <c r="O329" s="264"/>
      <c r="P329" s="264"/>
      <c r="Q329" s="264"/>
      <c r="R329" s="264"/>
      <c r="S329" s="264"/>
      <c r="T329" s="264"/>
      <c r="U329" s="264"/>
      <c r="V329" s="253"/>
      <c r="W329" s="253"/>
      <c r="X329" s="253"/>
    </row>
    <row r="330" spans="1:24" s="26" customFormat="1" x14ac:dyDescent="0.2">
      <c r="B330" s="885" t="s">
        <v>331</v>
      </c>
      <c r="C330" s="275" t="s">
        <v>31</v>
      </c>
      <c r="D330" s="276">
        <v>0</v>
      </c>
      <c r="E330" s="252">
        <f>F97</f>
        <v>0</v>
      </c>
      <c r="F330" s="252">
        <v>0</v>
      </c>
      <c r="G330" s="252">
        <f>F98</f>
        <v>0</v>
      </c>
      <c r="H330" s="252">
        <v>0</v>
      </c>
      <c r="I330" s="277">
        <v>0</v>
      </c>
      <c r="J330" s="264"/>
      <c r="N330" s="263"/>
      <c r="O330" s="264"/>
      <c r="P330" s="264"/>
      <c r="Q330" s="264"/>
      <c r="R330" s="264"/>
      <c r="S330" s="264"/>
      <c r="T330" s="264"/>
      <c r="U330" s="264"/>
      <c r="V330" s="253"/>
      <c r="W330" s="253"/>
      <c r="X330" s="253"/>
    </row>
    <row r="331" spans="1:24" s="26" customFormat="1" x14ac:dyDescent="0.2">
      <c r="B331" s="886"/>
      <c r="C331" s="278" t="s">
        <v>33</v>
      </c>
      <c r="D331" s="285">
        <v>0</v>
      </c>
      <c r="E331" s="262">
        <v>0</v>
      </c>
      <c r="F331" s="262">
        <f>F110</f>
        <v>0</v>
      </c>
      <c r="G331" s="262">
        <f>F111</f>
        <v>0</v>
      </c>
      <c r="H331" s="262">
        <f>F112</f>
        <v>0</v>
      </c>
      <c r="I331" s="281">
        <v>0</v>
      </c>
      <c r="J331" s="264"/>
      <c r="N331" s="263"/>
      <c r="O331" s="264"/>
      <c r="P331" s="264"/>
      <c r="Q331" s="264"/>
      <c r="R331" s="264"/>
      <c r="S331" s="264"/>
      <c r="T331" s="264"/>
      <c r="U331" s="264"/>
      <c r="V331" s="253"/>
      <c r="W331" s="253"/>
      <c r="X331" s="253"/>
    </row>
    <row r="332" spans="1:24" s="26" customFormat="1" x14ac:dyDescent="0.2">
      <c r="B332" s="886"/>
      <c r="C332" s="278" t="s">
        <v>34</v>
      </c>
      <c r="D332" s="285">
        <v>0</v>
      </c>
      <c r="E332" s="262">
        <v>0</v>
      </c>
      <c r="F332" s="262">
        <f>F113</f>
        <v>0</v>
      </c>
      <c r="G332" s="262">
        <f>F114</f>
        <v>0</v>
      </c>
      <c r="H332" s="262">
        <f>F115</f>
        <v>0</v>
      </c>
      <c r="I332" s="281">
        <v>0</v>
      </c>
      <c r="J332" s="264"/>
      <c r="N332" s="263"/>
      <c r="O332" s="264"/>
      <c r="P332" s="264"/>
      <c r="Q332" s="264"/>
      <c r="R332" s="264"/>
      <c r="S332" s="264"/>
      <c r="T332" s="264"/>
      <c r="U332" s="264"/>
      <c r="V332" s="253"/>
      <c r="W332" s="253"/>
      <c r="X332" s="253"/>
    </row>
    <row r="333" spans="1:24" s="26" customFormat="1" ht="13.5" thickBot="1" x14ac:dyDescent="0.25">
      <c r="B333" s="886"/>
      <c r="C333" s="278" t="s">
        <v>35</v>
      </c>
      <c r="D333" s="285">
        <v>0</v>
      </c>
      <c r="E333" s="262">
        <f>F119</f>
        <v>0</v>
      </c>
      <c r="F333" s="262">
        <v>0</v>
      </c>
      <c r="G333" s="262">
        <f>F120</f>
        <v>0</v>
      </c>
      <c r="H333" s="262">
        <v>0</v>
      </c>
      <c r="I333" s="281">
        <v>0</v>
      </c>
      <c r="J333" s="264"/>
      <c r="N333" s="263"/>
      <c r="O333" s="264"/>
      <c r="P333" s="264"/>
      <c r="Q333" s="264"/>
      <c r="R333" s="264"/>
      <c r="S333" s="264"/>
      <c r="T333" s="264"/>
      <c r="U333" s="264"/>
      <c r="V333" s="253"/>
      <c r="W333" s="253"/>
      <c r="X333" s="253"/>
    </row>
    <row r="334" spans="1:24" s="26" customFormat="1" x14ac:dyDescent="0.2">
      <c r="B334" s="891" t="s">
        <v>348</v>
      </c>
      <c r="C334" s="275" t="s">
        <v>31</v>
      </c>
      <c r="D334" s="276">
        <v>0</v>
      </c>
      <c r="E334" s="252">
        <f>C179</f>
        <v>0</v>
      </c>
      <c r="F334" s="252">
        <v>0</v>
      </c>
      <c r="G334" s="252">
        <v>0</v>
      </c>
      <c r="H334" s="252">
        <v>0</v>
      </c>
      <c r="I334" s="277">
        <v>0</v>
      </c>
      <c r="J334" s="264"/>
      <c r="N334" s="263"/>
      <c r="O334" s="264"/>
      <c r="P334" s="264"/>
      <c r="Q334" s="264"/>
      <c r="R334" s="264"/>
      <c r="S334" s="264"/>
      <c r="T334" s="264"/>
      <c r="U334" s="264"/>
      <c r="V334" s="253"/>
      <c r="W334" s="253"/>
      <c r="X334" s="253"/>
    </row>
    <row r="335" spans="1:24" s="26" customFormat="1" x14ac:dyDescent="0.2">
      <c r="B335" s="892"/>
      <c r="C335" s="278" t="s">
        <v>33</v>
      </c>
      <c r="D335" s="285">
        <v>0</v>
      </c>
      <c r="E335" s="262">
        <v>0</v>
      </c>
      <c r="F335" s="262">
        <f>F186</f>
        <v>0</v>
      </c>
      <c r="G335" s="262">
        <f>G186</f>
        <v>0</v>
      </c>
      <c r="H335" s="262">
        <v>0</v>
      </c>
      <c r="I335" s="281">
        <v>0</v>
      </c>
      <c r="J335" s="264"/>
      <c r="N335" s="263"/>
      <c r="O335" s="264"/>
      <c r="P335" s="264"/>
      <c r="Q335" s="264"/>
      <c r="R335" s="264"/>
      <c r="S335" s="264"/>
      <c r="T335" s="264"/>
      <c r="U335" s="264"/>
      <c r="V335" s="253"/>
      <c r="W335" s="253"/>
      <c r="X335" s="253"/>
    </row>
    <row r="336" spans="1:24" s="26" customFormat="1" x14ac:dyDescent="0.2">
      <c r="B336" s="892"/>
      <c r="C336" s="278" t="s">
        <v>34</v>
      </c>
      <c r="D336" s="285">
        <v>0</v>
      </c>
      <c r="E336" s="262">
        <v>0</v>
      </c>
      <c r="F336" s="262">
        <f>F186</f>
        <v>0</v>
      </c>
      <c r="G336" s="262">
        <f>G186</f>
        <v>0</v>
      </c>
      <c r="H336" s="262">
        <v>0</v>
      </c>
      <c r="I336" s="281">
        <v>0</v>
      </c>
      <c r="J336" s="264"/>
      <c r="N336" s="263"/>
      <c r="O336" s="264"/>
      <c r="P336" s="264"/>
      <c r="Q336" s="264"/>
      <c r="R336" s="264"/>
      <c r="S336" s="264"/>
      <c r="T336" s="264"/>
      <c r="U336" s="264"/>
      <c r="V336" s="253"/>
      <c r="W336" s="253"/>
      <c r="X336" s="253"/>
    </row>
    <row r="337" spans="2:24" s="26" customFormat="1" ht="13.5" thickBot="1" x14ac:dyDescent="0.25">
      <c r="B337" s="893"/>
      <c r="C337" s="282" t="s">
        <v>35</v>
      </c>
      <c r="D337" s="286">
        <v>0</v>
      </c>
      <c r="E337" s="283">
        <f>C189</f>
        <v>0</v>
      </c>
      <c r="F337" s="283">
        <v>0</v>
      </c>
      <c r="G337" s="283">
        <v>0</v>
      </c>
      <c r="H337" s="283">
        <v>0</v>
      </c>
      <c r="I337" s="284">
        <v>0</v>
      </c>
      <c r="J337" s="264"/>
      <c r="N337" s="263"/>
      <c r="O337" s="264"/>
      <c r="P337" s="264"/>
      <c r="Q337" s="264"/>
      <c r="R337" s="264"/>
      <c r="S337" s="264"/>
      <c r="T337" s="264"/>
      <c r="U337" s="264"/>
      <c r="V337" s="253"/>
      <c r="W337" s="253"/>
      <c r="X337" s="253"/>
    </row>
    <row r="338" spans="2:24" s="26" customFormat="1" x14ac:dyDescent="0.2">
      <c r="B338" s="305"/>
      <c r="C338" s="264"/>
      <c r="D338" s="266"/>
      <c r="E338" s="266"/>
      <c r="F338" s="266"/>
      <c r="G338" s="266"/>
      <c r="H338" s="266"/>
      <c r="I338" s="266"/>
      <c r="J338" s="264"/>
      <c r="N338" s="263"/>
      <c r="O338" s="264"/>
      <c r="P338" s="264"/>
      <c r="Q338" s="264"/>
      <c r="R338" s="264"/>
      <c r="S338" s="264"/>
      <c r="T338" s="264"/>
      <c r="U338" s="264"/>
      <c r="V338" s="253"/>
      <c r="W338" s="253"/>
      <c r="X338" s="253"/>
    </row>
    <row r="339" spans="2:24" s="26" customFormat="1" ht="13.5" thickBot="1" x14ac:dyDescent="0.25">
      <c r="B339" s="261" t="s">
        <v>782</v>
      </c>
      <c r="C339" s="22"/>
      <c r="D339" s="22"/>
      <c r="E339" s="22"/>
      <c r="F339" s="22"/>
      <c r="G339" s="22"/>
      <c r="H339" s="22"/>
      <c r="I339" s="22"/>
      <c r="N339" s="263"/>
      <c r="O339" s="264"/>
      <c r="P339" s="264"/>
      <c r="Q339" s="264"/>
      <c r="R339" s="264"/>
      <c r="S339" s="264"/>
      <c r="T339" s="264"/>
      <c r="U339" s="264"/>
      <c r="V339" s="253"/>
      <c r="W339" s="253"/>
      <c r="X339" s="253"/>
    </row>
    <row r="340" spans="2:24" s="26" customFormat="1" ht="26.25" thickBot="1" x14ac:dyDescent="0.25">
      <c r="B340" s="264"/>
      <c r="C340" s="287" t="s">
        <v>338</v>
      </c>
      <c r="D340" s="288" t="s">
        <v>333</v>
      </c>
      <c r="E340" s="288" t="s">
        <v>334</v>
      </c>
      <c r="F340" s="288" t="s">
        <v>335</v>
      </c>
      <c r="G340" s="288" t="s">
        <v>337</v>
      </c>
      <c r="H340" s="289" t="s">
        <v>336</v>
      </c>
      <c r="I340" s="22"/>
      <c r="N340" s="263"/>
      <c r="O340" s="264"/>
      <c r="P340" s="264"/>
      <c r="Q340" s="264"/>
      <c r="R340" s="264"/>
      <c r="S340" s="264"/>
      <c r="T340" s="264"/>
      <c r="U340" s="264"/>
      <c r="V340" s="253"/>
      <c r="W340" s="253"/>
      <c r="X340" s="253"/>
    </row>
    <row r="341" spans="2:24" s="26" customFormat="1" x14ac:dyDescent="0.2">
      <c r="B341" s="306" t="s">
        <v>31</v>
      </c>
      <c r="C341" s="290">
        <f t="shared" ref="C341:H344" si="20">SUM(D326,D330,D334)</f>
        <v>0</v>
      </c>
      <c r="D341" s="291">
        <f t="shared" si="20"/>
        <v>299.97289583333333</v>
      </c>
      <c r="E341" s="291">
        <f t="shared" si="20"/>
        <v>0</v>
      </c>
      <c r="F341" s="291">
        <f t="shared" si="20"/>
        <v>0</v>
      </c>
      <c r="G341" s="291">
        <f t="shared" si="20"/>
        <v>0</v>
      </c>
      <c r="H341" s="292">
        <f t="shared" si="20"/>
        <v>0</v>
      </c>
      <c r="I341" s="22"/>
      <c r="N341" s="263"/>
      <c r="O341" s="264"/>
      <c r="P341" s="264"/>
      <c r="Q341" s="264"/>
      <c r="R341" s="264"/>
      <c r="S341" s="264"/>
      <c r="T341" s="264"/>
      <c r="U341" s="264"/>
      <c r="V341" s="253"/>
      <c r="W341" s="253"/>
      <c r="X341" s="253"/>
    </row>
    <row r="342" spans="2:24" s="26" customFormat="1" x14ac:dyDescent="0.2">
      <c r="B342" s="307" t="s">
        <v>33</v>
      </c>
      <c r="C342" s="210">
        <f t="shared" si="20"/>
        <v>0</v>
      </c>
      <c r="D342" s="67">
        <f t="shared" si="20"/>
        <v>0</v>
      </c>
      <c r="E342" s="67">
        <f t="shared" si="20"/>
        <v>257.62025020341474</v>
      </c>
      <c r="F342" s="67">
        <f t="shared" si="20"/>
        <v>3091.4430024409767</v>
      </c>
      <c r="G342" s="67">
        <f t="shared" si="20"/>
        <v>0</v>
      </c>
      <c r="H342" s="299">
        <f t="shared" si="20"/>
        <v>0</v>
      </c>
      <c r="I342" s="22"/>
      <c r="N342" s="263"/>
      <c r="O342" s="264"/>
      <c r="P342" s="264"/>
      <c r="Q342" s="264"/>
      <c r="R342" s="264"/>
      <c r="S342" s="264"/>
      <c r="T342" s="264"/>
      <c r="U342" s="264"/>
      <c r="V342" s="253"/>
      <c r="W342" s="253"/>
      <c r="X342" s="253"/>
    </row>
    <row r="343" spans="2:24" s="26" customFormat="1" x14ac:dyDescent="0.2">
      <c r="B343" s="307" t="s">
        <v>34</v>
      </c>
      <c r="C343" s="210">
        <f t="shared" si="20"/>
        <v>0</v>
      </c>
      <c r="D343" s="67">
        <f t="shared" si="20"/>
        <v>0</v>
      </c>
      <c r="E343" s="67">
        <f t="shared" si="20"/>
        <v>257.62025020341474</v>
      </c>
      <c r="F343" s="67">
        <f t="shared" si="20"/>
        <v>3091.4430024409767</v>
      </c>
      <c r="G343" s="67">
        <f t="shared" si="20"/>
        <v>0</v>
      </c>
      <c r="H343" s="299">
        <f t="shared" si="20"/>
        <v>0</v>
      </c>
      <c r="I343" s="22"/>
      <c r="J343" s="294"/>
      <c r="N343" s="263"/>
      <c r="O343" s="264"/>
      <c r="P343" s="264"/>
      <c r="Q343" s="264"/>
      <c r="R343" s="264"/>
      <c r="S343" s="264"/>
      <c r="T343" s="264"/>
      <c r="U343" s="264"/>
      <c r="V343" s="253"/>
      <c r="W343" s="253"/>
      <c r="X343" s="253"/>
    </row>
    <row r="344" spans="2:24" s="26" customFormat="1" ht="13.5" thickBot="1" x14ac:dyDescent="0.25">
      <c r="B344" s="308" t="s">
        <v>35</v>
      </c>
      <c r="C344" s="229">
        <f t="shared" si="20"/>
        <v>0</v>
      </c>
      <c r="D344" s="300">
        <f t="shared" si="20"/>
        <v>92.989087741296828</v>
      </c>
      <c r="E344" s="300">
        <f t="shared" si="20"/>
        <v>0</v>
      </c>
      <c r="F344" s="300">
        <f t="shared" si="20"/>
        <v>0</v>
      </c>
      <c r="G344" s="300">
        <f t="shared" si="20"/>
        <v>0</v>
      </c>
      <c r="H344" s="301">
        <f t="shared" si="20"/>
        <v>0</v>
      </c>
      <c r="I344" s="22"/>
      <c r="N344" s="263"/>
      <c r="O344" s="264"/>
      <c r="P344" s="264"/>
      <c r="Q344" s="264"/>
      <c r="R344" s="264"/>
      <c r="S344" s="264"/>
      <c r="T344" s="264"/>
      <c r="U344" s="264"/>
      <c r="V344" s="253"/>
      <c r="W344" s="253"/>
      <c r="X344" s="253"/>
    </row>
    <row r="345" spans="2:24" s="26" customFormat="1" x14ac:dyDescent="0.2">
      <c r="B345" s="264"/>
      <c r="C345" s="78"/>
      <c r="D345" s="78"/>
      <c r="E345" s="78"/>
      <c r="F345" s="78"/>
      <c r="G345" s="78"/>
      <c r="H345" s="78"/>
      <c r="I345" s="22"/>
      <c r="N345" s="263"/>
      <c r="O345" s="264"/>
      <c r="P345" s="264"/>
      <c r="Q345" s="264"/>
      <c r="R345" s="264"/>
      <c r="S345" s="264"/>
      <c r="T345" s="264"/>
      <c r="U345" s="264"/>
      <c r="V345" s="253"/>
      <c r="W345" s="253"/>
      <c r="X345" s="253"/>
    </row>
    <row r="346" spans="2:24" s="26" customFormat="1" ht="13.5" thickBot="1" x14ac:dyDescent="0.25">
      <c r="B346" s="263" t="s">
        <v>752</v>
      </c>
      <c r="C346" s="78"/>
      <c r="D346" s="78"/>
      <c r="E346" s="78"/>
      <c r="F346" s="78"/>
      <c r="G346" s="78"/>
      <c r="H346" s="78"/>
      <c r="I346" s="22"/>
      <c r="N346" s="263"/>
      <c r="O346" s="264"/>
      <c r="P346" s="264"/>
      <c r="Q346" s="264"/>
      <c r="R346" s="264"/>
      <c r="S346" s="264"/>
      <c r="T346" s="264"/>
      <c r="U346" s="264"/>
      <c r="V346" s="253"/>
      <c r="W346" s="253"/>
      <c r="X346" s="253"/>
    </row>
    <row r="347" spans="2:24" s="26" customFormat="1" ht="26.25" thickBot="1" x14ac:dyDescent="0.25">
      <c r="B347" s="264"/>
      <c r="C347" s="287" t="s">
        <v>338</v>
      </c>
      <c r="D347" s="288" t="s">
        <v>333</v>
      </c>
      <c r="E347" s="288" t="s">
        <v>334</v>
      </c>
      <c r="F347" s="288" t="s">
        <v>335</v>
      </c>
      <c r="G347" s="288" t="s">
        <v>337</v>
      </c>
      <c r="H347" s="289" t="s">
        <v>336</v>
      </c>
      <c r="I347" s="22"/>
      <c r="N347" s="263"/>
      <c r="O347" s="264"/>
      <c r="P347" s="264"/>
      <c r="Q347" s="264"/>
      <c r="R347" s="264"/>
      <c r="S347" s="264"/>
      <c r="T347" s="264"/>
      <c r="U347" s="264"/>
      <c r="V347" s="253"/>
      <c r="W347" s="253"/>
      <c r="X347" s="253"/>
    </row>
    <row r="348" spans="2:24" s="26" customFormat="1" x14ac:dyDescent="0.2">
      <c r="B348" s="275" t="s">
        <v>36</v>
      </c>
      <c r="C348" s="276">
        <v>0</v>
      </c>
      <c r="D348" s="252">
        <f>C153</f>
        <v>125</v>
      </c>
      <c r="E348" s="252">
        <f>C151</f>
        <v>500</v>
      </c>
      <c r="F348" s="252">
        <f>C152</f>
        <v>11500</v>
      </c>
      <c r="G348" s="252">
        <v>0</v>
      </c>
      <c r="H348" s="277">
        <v>0</v>
      </c>
      <c r="I348" s="22"/>
      <c r="N348" s="263"/>
      <c r="O348" s="264"/>
      <c r="P348" s="264"/>
      <c r="Q348" s="264"/>
      <c r="R348" s="264"/>
      <c r="S348" s="264"/>
      <c r="T348" s="264"/>
      <c r="U348" s="264"/>
      <c r="V348" s="253"/>
      <c r="W348" s="253"/>
      <c r="X348" s="253"/>
    </row>
    <row r="349" spans="2:24" s="26" customFormat="1" x14ac:dyDescent="0.2">
      <c r="B349" s="278" t="s">
        <v>37</v>
      </c>
      <c r="C349" s="285">
        <v>0</v>
      </c>
      <c r="D349" s="262">
        <f>C160</f>
        <v>200</v>
      </c>
      <c r="E349" s="262">
        <f>C158</f>
        <v>1000</v>
      </c>
      <c r="F349" s="262">
        <f>C159</f>
        <v>23000</v>
      </c>
      <c r="G349" s="262">
        <v>0</v>
      </c>
      <c r="H349" s="281">
        <v>0</v>
      </c>
      <c r="I349" s="22"/>
      <c r="N349" s="263"/>
      <c r="O349" s="264"/>
      <c r="P349" s="264"/>
      <c r="Q349" s="264"/>
      <c r="R349" s="264"/>
      <c r="S349" s="264"/>
      <c r="T349" s="264"/>
      <c r="U349" s="264"/>
      <c r="V349" s="253"/>
      <c r="W349" s="253"/>
      <c r="X349" s="253"/>
    </row>
    <row r="350" spans="2:24" s="26" customFormat="1" ht="13.5" thickBot="1" x14ac:dyDescent="0.25">
      <c r="B350" s="282" t="s">
        <v>38</v>
      </c>
      <c r="C350" s="286">
        <v>0</v>
      </c>
      <c r="D350" s="283">
        <f>C167</f>
        <v>200</v>
      </c>
      <c r="E350" s="283">
        <f>C165</f>
        <v>1000</v>
      </c>
      <c r="F350" s="283">
        <f>C166</f>
        <v>23000</v>
      </c>
      <c r="G350" s="283">
        <v>0</v>
      </c>
      <c r="H350" s="284">
        <v>0</v>
      </c>
      <c r="I350" s="22"/>
      <c r="N350" s="263"/>
      <c r="O350" s="264"/>
      <c r="P350" s="264"/>
      <c r="Q350" s="264"/>
      <c r="R350" s="264"/>
      <c r="S350" s="264"/>
      <c r="T350" s="264"/>
      <c r="U350" s="264"/>
      <c r="V350" s="253"/>
      <c r="W350" s="253"/>
      <c r="X350" s="253"/>
    </row>
    <row r="351" spans="2:24" s="26" customFormat="1" x14ac:dyDescent="0.2">
      <c r="B351" s="264"/>
      <c r="C351" s="266"/>
      <c r="D351" s="266"/>
      <c r="E351" s="266"/>
      <c r="F351" s="266"/>
      <c r="G351" s="266"/>
      <c r="H351" s="266"/>
      <c r="I351" s="22"/>
      <c r="N351" s="263"/>
      <c r="O351" s="264"/>
      <c r="P351" s="264"/>
      <c r="Q351" s="264"/>
      <c r="R351" s="264"/>
      <c r="S351" s="264"/>
      <c r="T351" s="264"/>
      <c r="U351" s="264"/>
      <c r="V351" s="253"/>
      <c r="W351" s="253"/>
      <c r="X351" s="253"/>
    </row>
    <row r="352" spans="2:24" s="26" customFormat="1" ht="13.5" thickBot="1" x14ac:dyDescent="0.25">
      <c r="B352" s="263" t="s">
        <v>781</v>
      </c>
      <c r="C352" s="22"/>
      <c r="D352" s="22"/>
      <c r="E352" s="22"/>
      <c r="F352" s="22"/>
      <c r="G352" s="22"/>
      <c r="H352" s="22"/>
      <c r="I352" s="878" t="s">
        <v>341</v>
      </c>
      <c r="J352" s="878"/>
      <c r="N352" s="263"/>
      <c r="O352" s="264"/>
      <c r="P352" s="264"/>
      <c r="Q352" s="264"/>
      <c r="R352" s="264"/>
      <c r="S352" s="264"/>
      <c r="T352" s="264"/>
      <c r="U352" s="264"/>
      <c r="V352" s="253"/>
      <c r="W352" s="253"/>
      <c r="X352" s="253"/>
    </row>
    <row r="353" spans="1:24" s="26" customFormat="1" ht="26.25" thickBot="1" x14ac:dyDescent="0.25">
      <c r="B353" s="22"/>
      <c r="C353" s="287" t="s">
        <v>338</v>
      </c>
      <c r="D353" s="288" t="s">
        <v>333</v>
      </c>
      <c r="E353" s="288" t="s">
        <v>334</v>
      </c>
      <c r="F353" s="288" t="s">
        <v>335</v>
      </c>
      <c r="G353" s="288" t="s">
        <v>337</v>
      </c>
      <c r="H353" s="289" t="s">
        <v>336</v>
      </c>
      <c r="I353" s="691" t="s">
        <v>340</v>
      </c>
      <c r="J353" s="692" t="s">
        <v>339</v>
      </c>
      <c r="N353" s="263"/>
      <c r="O353" s="264"/>
      <c r="P353" s="264"/>
      <c r="Q353" s="264"/>
      <c r="R353" s="264"/>
      <c r="S353" s="264"/>
      <c r="T353" s="264"/>
      <c r="U353" s="264"/>
      <c r="V353" s="253"/>
      <c r="W353" s="253"/>
      <c r="X353" s="253"/>
    </row>
    <row r="354" spans="1:24" s="26" customFormat="1" x14ac:dyDescent="0.2">
      <c r="B354" s="295" t="s">
        <v>36</v>
      </c>
      <c r="C354" s="254">
        <f t="shared" ref="C354:H354" si="21">C341+C348</f>
        <v>0</v>
      </c>
      <c r="D354" s="251">
        <f t="shared" si="21"/>
        <v>424.97289583333333</v>
      </c>
      <c r="E354" s="251">
        <f t="shared" si="21"/>
        <v>500</v>
      </c>
      <c r="F354" s="251">
        <f t="shared" si="21"/>
        <v>11500</v>
      </c>
      <c r="G354" s="251">
        <f t="shared" si="21"/>
        <v>0</v>
      </c>
      <c r="H354" s="255">
        <f t="shared" si="21"/>
        <v>0</v>
      </c>
      <c r="I354" s="254">
        <f>SQRT(C354^2+E354^2)</f>
        <v>500</v>
      </c>
      <c r="J354" s="255">
        <f>SQRT(F354^2+H354^2)</f>
        <v>11500</v>
      </c>
      <c r="N354" s="263"/>
      <c r="O354" s="264"/>
      <c r="P354" s="264"/>
      <c r="Q354" s="264"/>
      <c r="R354" s="264"/>
      <c r="S354" s="264"/>
      <c r="T354" s="264"/>
      <c r="U354" s="264"/>
      <c r="V354" s="253"/>
      <c r="W354" s="253"/>
      <c r="X354" s="253"/>
    </row>
    <row r="355" spans="1:24" s="26" customFormat="1" x14ac:dyDescent="0.2">
      <c r="B355" s="296" t="s">
        <v>37</v>
      </c>
      <c r="C355" s="256">
        <f t="shared" ref="C355:H355" si="22">0.75*(C341+C342+C349)</f>
        <v>0</v>
      </c>
      <c r="D355" s="82">
        <f t="shared" si="22"/>
        <v>374.97967187500001</v>
      </c>
      <c r="E355" s="82">
        <f t="shared" si="22"/>
        <v>943.2151876525611</v>
      </c>
      <c r="F355" s="82">
        <f t="shared" si="22"/>
        <v>19568.582251830732</v>
      </c>
      <c r="G355" s="82">
        <f t="shared" si="22"/>
        <v>0</v>
      </c>
      <c r="H355" s="257">
        <f t="shared" si="22"/>
        <v>0</v>
      </c>
      <c r="I355" s="256">
        <f>SQRT(C355^2+E355^2)</f>
        <v>943.2151876525611</v>
      </c>
      <c r="J355" s="257">
        <f>SQRT(F355^2+H355^2)</f>
        <v>19568.582251830732</v>
      </c>
      <c r="N355" s="264"/>
      <c r="O355" s="264"/>
      <c r="P355" s="264"/>
      <c r="Q355" s="264"/>
      <c r="R355" s="264"/>
      <c r="S355" s="264"/>
      <c r="T355" s="264"/>
      <c r="U355" s="264"/>
      <c r="V355" s="253"/>
      <c r="W355" s="253"/>
      <c r="X355" s="253"/>
    </row>
    <row r="356" spans="1:24" s="26" customFormat="1" ht="12.75" customHeight="1" thickBot="1" x14ac:dyDescent="0.25">
      <c r="B356" s="297" t="s">
        <v>38</v>
      </c>
      <c r="C356" s="258">
        <f t="shared" ref="C356:H356" si="23">0.75*(C341+0.5*C343+C344+C350)</f>
        <v>0</v>
      </c>
      <c r="D356" s="259">
        <f t="shared" si="23"/>
        <v>444.72148768097259</v>
      </c>
      <c r="E356" s="259">
        <f t="shared" si="23"/>
        <v>846.60759382628055</v>
      </c>
      <c r="F356" s="259">
        <f t="shared" si="23"/>
        <v>18409.291125915366</v>
      </c>
      <c r="G356" s="259">
        <f t="shared" si="23"/>
        <v>0</v>
      </c>
      <c r="H356" s="260">
        <f t="shared" si="23"/>
        <v>0</v>
      </c>
      <c r="I356" s="258">
        <f>SQRT(C356^2+E356^2)</f>
        <v>846.60759382628055</v>
      </c>
      <c r="J356" s="260">
        <f>SQRT(F356^2+H356^2)</f>
        <v>18409.291125915366</v>
      </c>
      <c r="N356" s="264"/>
      <c r="O356" s="265"/>
      <c r="P356" s="265"/>
      <c r="Q356" s="265"/>
      <c r="R356" s="45"/>
      <c r="S356" s="45"/>
      <c r="T356" s="45"/>
      <c r="U356" s="264"/>
      <c r="V356" s="253"/>
      <c r="W356" s="253"/>
      <c r="X356" s="253"/>
    </row>
    <row r="357" spans="1:24" s="26" customFormat="1" ht="13.5" thickBot="1" x14ac:dyDescent="0.25">
      <c r="D357" s="68"/>
      <c r="E357" s="298"/>
      <c r="F357" s="253"/>
      <c r="G357" s="212"/>
      <c r="H357" s="80"/>
      <c r="I357" s="253"/>
      <c r="N357" s="264"/>
      <c r="O357" s="212"/>
      <c r="P357" s="212"/>
      <c r="Q357" s="212"/>
      <c r="R357" s="212"/>
      <c r="S357" s="212"/>
      <c r="T357" s="212"/>
      <c r="U357" s="264"/>
      <c r="V357" s="253"/>
      <c r="W357" s="253"/>
      <c r="X357" s="253"/>
    </row>
    <row r="358" spans="1:24" s="26" customFormat="1" ht="27.75" thickBot="1" x14ac:dyDescent="0.25">
      <c r="C358" s="287" t="s">
        <v>342</v>
      </c>
      <c r="D358" s="288" t="s">
        <v>343</v>
      </c>
      <c r="E358" s="288" t="s">
        <v>344</v>
      </c>
      <c r="F358" s="288" t="s">
        <v>345</v>
      </c>
      <c r="G358" s="288" t="s">
        <v>346</v>
      </c>
      <c r="H358" s="288" t="s">
        <v>360</v>
      </c>
      <c r="I358" s="289" t="s">
        <v>347</v>
      </c>
      <c r="N358" s="264"/>
      <c r="O358" s="212"/>
      <c r="P358" s="212"/>
      <c r="Q358" s="212"/>
      <c r="R358" s="212"/>
      <c r="S358" s="212"/>
      <c r="T358" s="212"/>
      <c r="U358" s="264"/>
      <c r="V358" s="253"/>
      <c r="W358" s="253"/>
      <c r="X358" s="253"/>
    </row>
    <row r="359" spans="1:24" s="26" customFormat="1" x14ac:dyDescent="0.2">
      <c r="B359" s="295" t="s">
        <v>36</v>
      </c>
      <c r="C359" s="290">
        <f>F354*12/$E$24</f>
        <v>17180.790273556231</v>
      </c>
      <c r="D359" s="291">
        <f>H354*12/$E$24</f>
        <v>0</v>
      </c>
      <c r="E359" s="291">
        <f>HLOOKUP($B$18,'Maximum Stress Tables'!$A$21:$H$24,2,0)</f>
        <v>17180.790273556231</v>
      </c>
      <c r="F359" s="291">
        <f>VLOOKUP($B$18,'Pick List Data'!$A$74:$I$78,8,0)*I354/$E$25</f>
        <v>201.55520995334371</v>
      </c>
      <c r="G359" s="291">
        <f>G354*12*$E$29/(VLOOKUP($B$18,'Pick List Data'!$A$74:$I$78,9,0)*$E$22^2*$B$24)</f>
        <v>0</v>
      </c>
      <c r="H359" s="346">
        <f>F359+G359</f>
        <v>201.55520995334371</v>
      </c>
      <c r="I359" s="292">
        <f>D354/$E$25</f>
        <v>84.598025920165881</v>
      </c>
      <c r="N359" s="264"/>
      <c r="O359" s="212"/>
      <c r="P359" s="212"/>
      <c r="Q359" s="212"/>
      <c r="R359" s="212"/>
      <c r="S359" s="212"/>
      <c r="T359" s="212"/>
      <c r="U359" s="264"/>
      <c r="V359" s="253"/>
      <c r="W359" s="264"/>
      <c r="X359" s="264"/>
    </row>
    <row r="360" spans="1:24" s="26" customFormat="1" x14ac:dyDescent="0.2">
      <c r="B360" s="296" t="s">
        <v>37</v>
      </c>
      <c r="C360" s="210">
        <f>F355*12/$E$24</f>
        <v>29235.105010394655</v>
      </c>
      <c r="D360" s="67">
        <f>H355*12/$E$24</f>
        <v>0</v>
      </c>
      <c r="E360" s="67">
        <f>HLOOKUP($B$18,'Maximum Stress Tables'!$A$21:$H$24,3,0)</f>
        <v>29235.105010394655</v>
      </c>
      <c r="F360" s="67">
        <f>VLOOKUP($B$18,'Pick List Data'!$A$74:$I$78,8,0)*I355/$E$25</f>
        <v>380.21987035698885</v>
      </c>
      <c r="G360" s="67">
        <f>G355*12*$E$29/(VLOOKUP($B$18,'Pick List Data'!$A$74:$I$78,9,0)*$E$22^2*$B$24)</f>
        <v>0</v>
      </c>
      <c r="H360" s="345">
        <f>F360+G360</f>
        <v>380.21987035698885</v>
      </c>
      <c r="I360" s="299">
        <f>D355/$E$25</f>
        <v>74.646031104199068</v>
      </c>
      <c r="N360" s="264"/>
      <c r="O360" s="212"/>
      <c r="P360" s="212"/>
      <c r="Q360" s="212"/>
      <c r="R360" s="212"/>
      <c r="S360" s="212"/>
      <c r="T360" s="212"/>
      <c r="U360" s="253"/>
      <c r="V360" s="253"/>
      <c r="W360" s="253"/>
      <c r="X360" s="253"/>
    </row>
    <row r="361" spans="1:24" s="26" customFormat="1" ht="13.5" thickBot="1" x14ac:dyDescent="0.25">
      <c r="B361" s="297" t="s">
        <v>38</v>
      </c>
      <c r="C361" s="229">
        <f>F356*12/$E$24</f>
        <v>27503.145210364502</v>
      </c>
      <c r="D361" s="300">
        <f>H356*12/$E$24</f>
        <v>0</v>
      </c>
      <c r="E361" s="300">
        <f>HLOOKUP($B$18,'Maximum Stress Tables'!$A$21:$H$24,4,0)</f>
        <v>27503.145210364502</v>
      </c>
      <c r="F361" s="300">
        <f>VLOOKUP($B$18,'Pick List Data'!$A$74:$I$78,8,0)*I356/$E$25</f>
        <v>341.27634264350218</v>
      </c>
      <c r="G361" s="300">
        <f>G356*12*$E$29/(VLOOKUP($B$18,'Pick List Data'!$A$74:$I$78,9,0)*$E$22^2*$B$24)</f>
        <v>0</v>
      </c>
      <c r="H361" s="347">
        <f>F361+G361</f>
        <v>341.27634264350218</v>
      </c>
      <c r="I361" s="301">
        <f>D356/$E$25</f>
        <v>88.529316365730153</v>
      </c>
      <c r="N361" s="264"/>
      <c r="O361" s="264"/>
      <c r="P361" s="264"/>
      <c r="Q361" s="264"/>
      <c r="R361" s="264"/>
      <c r="S361" s="264"/>
      <c r="T361" s="264"/>
      <c r="U361" s="901"/>
      <c r="V361" s="901"/>
      <c r="W361" s="253"/>
      <c r="X361" s="253"/>
    </row>
    <row r="362" spans="1:24" s="26" customFormat="1" x14ac:dyDescent="0.2">
      <c r="B362" s="263"/>
      <c r="C362" s="78"/>
      <c r="D362" s="78"/>
      <c r="E362" s="78"/>
      <c r="F362" s="78"/>
      <c r="G362" s="78"/>
      <c r="H362" s="519"/>
      <c r="I362" s="78"/>
      <c r="N362" s="264"/>
      <c r="O362" s="264"/>
      <c r="P362" s="264"/>
      <c r="Q362" s="264"/>
      <c r="R362" s="264"/>
      <c r="S362" s="264"/>
      <c r="T362" s="264"/>
      <c r="U362" s="265"/>
      <c r="V362" s="265"/>
      <c r="W362" s="253"/>
      <c r="X362" s="253"/>
    </row>
    <row r="363" spans="1:24" s="26" customFormat="1" ht="15.75" x14ac:dyDescent="0.2">
      <c r="B363" s="552" t="s">
        <v>465</v>
      </c>
      <c r="C363" s="550" t="s">
        <v>473</v>
      </c>
      <c r="D363" s="78"/>
      <c r="E363" s="78"/>
      <c r="F363" s="552" t="s">
        <v>468</v>
      </c>
      <c r="G363" s="551" t="s">
        <v>463</v>
      </c>
      <c r="H363" s="519"/>
      <c r="I363" s="78"/>
      <c r="N363" s="264"/>
      <c r="O363" s="264"/>
      <c r="P363" s="264"/>
      <c r="Q363" s="264"/>
      <c r="R363" s="264"/>
      <c r="S363" s="264"/>
      <c r="T363" s="264"/>
      <c r="U363" s="265"/>
      <c r="V363" s="265"/>
      <c r="W363" s="253"/>
      <c r="X363" s="253"/>
    </row>
    <row r="364" spans="1:24" s="26" customFormat="1" ht="15.75" x14ac:dyDescent="0.2">
      <c r="B364" s="552" t="s">
        <v>466</v>
      </c>
      <c r="C364" s="550" t="s">
        <v>474</v>
      </c>
      <c r="D364" s="78"/>
      <c r="E364" s="78"/>
      <c r="F364" s="552" t="s">
        <v>469</v>
      </c>
      <c r="G364" s="551" t="s">
        <v>519</v>
      </c>
      <c r="H364" s="519"/>
      <c r="I364" s="78"/>
      <c r="N364" s="264"/>
      <c r="O364" s="264"/>
      <c r="P364" s="264"/>
      <c r="Q364" s="264"/>
      <c r="R364" s="264"/>
      <c r="S364" s="264"/>
      <c r="T364" s="264"/>
      <c r="U364" s="265"/>
      <c r="V364" s="265"/>
      <c r="W364" s="253"/>
      <c r="X364" s="253"/>
    </row>
    <row r="365" spans="1:24" s="26" customFormat="1" ht="15.75" x14ac:dyDescent="0.2">
      <c r="B365" s="552" t="s">
        <v>467</v>
      </c>
      <c r="C365" s="550" t="s">
        <v>462</v>
      </c>
      <c r="D365" s="78"/>
      <c r="E365" s="78"/>
      <c r="F365" s="552" t="s">
        <v>470</v>
      </c>
      <c r="G365" s="551" t="s">
        <v>472</v>
      </c>
      <c r="H365" s="519"/>
      <c r="I365" s="78"/>
      <c r="N365" s="264"/>
      <c r="O365" s="264"/>
      <c r="P365" s="264"/>
      <c r="Q365" s="264"/>
      <c r="R365" s="264"/>
      <c r="S365" s="264"/>
      <c r="T365" s="264"/>
      <c r="U365" s="265"/>
      <c r="V365" s="265"/>
      <c r="W365" s="253"/>
      <c r="X365" s="253"/>
    </row>
    <row r="366" spans="1:24" s="26" customFormat="1" ht="14.25" x14ac:dyDescent="0.2">
      <c r="B366" s="78"/>
      <c r="C366" s="78"/>
      <c r="D366" s="78"/>
      <c r="E366" s="78"/>
      <c r="F366" s="552" t="s">
        <v>471</v>
      </c>
      <c r="G366" s="551" t="s">
        <v>464</v>
      </c>
      <c r="H366" s="519"/>
      <c r="I366" s="78"/>
      <c r="N366" s="264"/>
      <c r="O366" s="264"/>
      <c r="P366" s="264"/>
      <c r="Q366" s="264"/>
      <c r="R366" s="264"/>
      <c r="S366" s="264"/>
      <c r="T366" s="264"/>
      <c r="U366" s="265"/>
      <c r="V366" s="265"/>
      <c r="W366" s="253"/>
      <c r="X366" s="253"/>
    </row>
    <row r="367" spans="1:24" ht="15.75" x14ac:dyDescent="0.2">
      <c r="A367" s="325" t="s">
        <v>647</v>
      </c>
      <c r="B367" s="10"/>
      <c r="C367" s="10"/>
      <c r="D367" s="10"/>
      <c r="E367" s="10"/>
      <c r="F367" s="10"/>
      <c r="G367" s="10"/>
      <c r="H367" s="10"/>
      <c r="N367" s="3"/>
      <c r="O367" s="37"/>
      <c r="P367" s="37"/>
      <c r="Q367" s="37"/>
      <c r="R367" s="45"/>
      <c r="S367" s="45"/>
      <c r="T367" s="45"/>
      <c r="U367" s="250"/>
      <c r="V367" s="45"/>
      <c r="W367" s="7"/>
      <c r="X367" s="7"/>
    </row>
    <row r="368" spans="1:24" x14ac:dyDescent="0.2">
      <c r="A368" s="14"/>
      <c r="B368" s="10"/>
      <c r="C368" s="10"/>
      <c r="D368" s="10"/>
      <c r="E368" s="10"/>
      <c r="F368" s="10"/>
      <c r="G368" s="10"/>
      <c r="H368" s="10"/>
      <c r="N368" s="3"/>
      <c r="O368" s="37"/>
      <c r="P368" s="37"/>
      <c r="Q368" s="37"/>
      <c r="R368" s="45"/>
      <c r="S368" s="45"/>
      <c r="T368" s="45"/>
      <c r="U368" s="250"/>
      <c r="V368" s="45"/>
      <c r="W368" s="7"/>
      <c r="X368" s="7"/>
    </row>
    <row r="369" spans="1:24" x14ac:dyDescent="0.2">
      <c r="A369" s="14"/>
      <c r="B369" s="332" t="s">
        <v>628</v>
      </c>
      <c r="C369" s="10"/>
      <c r="D369" s="10"/>
      <c r="E369" s="10"/>
      <c r="F369" s="10"/>
      <c r="G369" s="10"/>
      <c r="H369" s="10"/>
      <c r="N369" s="3"/>
      <c r="O369" s="37"/>
      <c r="P369" s="37"/>
      <c r="Q369" s="37"/>
      <c r="R369" s="45"/>
      <c r="S369" s="45"/>
      <c r="T369" s="45"/>
      <c r="U369" s="250"/>
      <c r="V369" s="45"/>
      <c r="W369" s="7"/>
      <c r="X369" s="7"/>
    </row>
    <row r="370" spans="1:24" ht="13.5" thickBot="1" x14ac:dyDescent="0.25">
      <c r="A370" s="14"/>
      <c r="B370" s="10"/>
      <c r="C370" s="10"/>
      <c r="D370" s="10"/>
      <c r="E370" s="10"/>
      <c r="F370" s="10"/>
      <c r="G370" s="10"/>
      <c r="H370" s="10"/>
      <c r="N370" s="3"/>
      <c r="O370" s="37"/>
      <c r="P370" s="37"/>
      <c r="Q370" s="37"/>
      <c r="R370" s="45"/>
      <c r="S370" s="45"/>
      <c r="T370" s="45"/>
      <c r="U370" s="250"/>
      <c r="V370" s="45"/>
      <c r="W370" s="7"/>
      <c r="X370" s="7"/>
    </row>
    <row r="371" spans="1:24" ht="27.75" thickBot="1" x14ac:dyDescent="0.25">
      <c r="A371" s="14"/>
      <c r="B371" s="416" t="s">
        <v>356</v>
      </c>
      <c r="C371" s="309" t="s">
        <v>703</v>
      </c>
      <c r="D371" s="309" t="s">
        <v>704</v>
      </c>
      <c r="E371" s="310" t="s">
        <v>705</v>
      </c>
      <c r="G371" s="737" t="s">
        <v>564</v>
      </c>
      <c r="H371" s="10"/>
      <c r="N371" s="3"/>
      <c r="O371" s="37"/>
      <c r="P371" s="37"/>
      <c r="Q371" s="37"/>
      <c r="R371" s="45"/>
      <c r="S371" s="45"/>
      <c r="T371" s="45"/>
      <c r="U371" s="250"/>
      <c r="V371" s="45"/>
      <c r="W371" s="7"/>
      <c r="X371" s="7"/>
    </row>
    <row r="372" spans="1:24" x14ac:dyDescent="0.2">
      <c r="A372" s="14"/>
      <c r="B372" s="703" t="s">
        <v>36</v>
      </c>
      <c r="C372" s="339">
        <f>E227</f>
        <v>0</v>
      </c>
      <c r="D372" s="339">
        <f>H227</f>
        <v>415.7491954483163</v>
      </c>
      <c r="E372" s="340">
        <f>-I227</f>
        <v>-54.651226916367122</v>
      </c>
      <c r="G372" s="10" t="s">
        <v>753</v>
      </c>
      <c r="H372" s="10"/>
      <c r="N372" s="3"/>
      <c r="O372" s="37"/>
      <c r="P372" s="37"/>
      <c r="Q372" s="37"/>
      <c r="R372" s="45"/>
      <c r="S372" s="45"/>
      <c r="T372" s="45"/>
      <c r="U372" s="250"/>
      <c r="V372" s="45"/>
      <c r="W372" s="7"/>
      <c r="X372" s="7"/>
    </row>
    <row r="373" spans="1:24" ht="15.75" x14ac:dyDescent="0.2">
      <c r="A373" s="14"/>
      <c r="B373" s="342" t="s">
        <v>37</v>
      </c>
      <c r="C373" s="46">
        <f>E228</f>
        <v>614.08902983982989</v>
      </c>
      <c r="D373" s="46">
        <f>H228</f>
        <v>630.31788140705339</v>
      </c>
      <c r="E373" s="336">
        <f>-I228</f>
        <v>-64.085597712181794</v>
      </c>
      <c r="G373" s="10" t="s">
        <v>754</v>
      </c>
      <c r="H373" s="10"/>
      <c r="N373" s="3"/>
      <c r="O373" s="37"/>
      <c r="P373" s="37"/>
      <c r="Q373" s="37"/>
      <c r="R373" s="45"/>
      <c r="S373" s="45"/>
      <c r="T373" s="45"/>
      <c r="U373" s="250"/>
      <c r="V373" s="45"/>
      <c r="W373" s="7"/>
      <c r="X373" s="7"/>
    </row>
    <row r="374" spans="1:24" ht="16.5" thickBot="1" x14ac:dyDescent="0.25">
      <c r="A374" s="14"/>
      <c r="B374" s="343" t="s">
        <v>38</v>
      </c>
      <c r="C374" s="337">
        <f>E229</f>
        <v>307.04451491991495</v>
      </c>
      <c r="D374" s="337">
        <f>H229</f>
        <v>626.97083728976384</v>
      </c>
      <c r="E374" s="338">
        <f>-I229</f>
        <v>-64.880248628558235</v>
      </c>
      <c r="G374" s="10" t="s">
        <v>755</v>
      </c>
      <c r="H374" s="10"/>
      <c r="N374" s="3"/>
      <c r="O374" s="37"/>
      <c r="P374" s="37"/>
      <c r="Q374" s="37"/>
      <c r="R374" s="45"/>
      <c r="S374" s="45"/>
      <c r="T374" s="45"/>
      <c r="U374" s="250"/>
      <c r="V374" s="45"/>
      <c r="W374" s="7"/>
      <c r="X374" s="7"/>
    </row>
    <row r="375" spans="1:24" ht="15.75" x14ac:dyDescent="0.2">
      <c r="A375" s="14"/>
      <c r="B375" s="10"/>
      <c r="C375" s="10"/>
      <c r="D375" s="10"/>
      <c r="E375" s="10"/>
      <c r="F375" s="10"/>
      <c r="G375" s="10" t="s">
        <v>756</v>
      </c>
      <c r="H375" s="10"/>
      <c r="N375" s="3"/>
      <c r="O375" s="37"/>
      <c r="P375" s="37"/>
      <c r="Q375" s="37"/>
      <c r="R375" s="45"/>
      <c r="S375" s="45"/>
      <c r="T375" s="45"/>
      <c r="U375" s="250"/>
      <c r="V375" s="45"/>
      <c r="W375" s="7"/>
      <c r="X375" s="7"/>
    </row>
    <row r="376" spans="1:24" x14ac:dyDescent="0.2">
      <c r="A376" s="14"/>
      <c r="B376" s="332" t="s">
        <v>629</v>
      </c>
      <c r="C376" s="10"/>
      <c r="D376" s="10"/>
      <c r="E376" s="10"/>
      <c r="F376" s="10"/>
      <c r="G376" s="10"/>
      <c r="H376" s="10"/>
      <c r="N376" s="3"/>
      <c r="O376" s="37"/>
      <c r="P376" s="37"/>
      <c r="Q376" s="37"/>
      <c r="R376" s="45"/>
      <c r="S376" s="45"/>
      <c r="T376" s="45"/>
      <c r="U376" s="250"/>
      <c r="V376" s="45"/>
      <c r="W376" s="7"/>
      <c r="X376" s="7"/>
    </row>
    <row r="377" spans="1:24" ht="13.5" thickBot="1" x14ac:dyDescent="0.25">
      <c r="A377" s="14"/>
      <c r="B377" s="10"/>
      <c r="C377" s="10"/>
      <c r="D377" s="10"/>
      <c r="E377" s="10"/>
      <c r="F377" s="10"/>
      <c r="G377" s="10"/>
      <c r="H377" s="10"/>
      <c r="N377" s="3"/>
      <c r="O377" s="37"/>
      <c r="P377" s="37"/>
      <c r="Q377" s="37"/>
      <c r="R377" s="45"/>
      <c r="S377" s="45"/>
      <c r="T377" s="45"/>
      <c r="U377" s="250"/>
      <c r="V377" s="45"/>
      <c r="W377" s="7"/>
      <c r="X377" s="7"/>
    </row>
    <row r="378" spans="1:24" ht="27.75" thickBot="1" x14ac:dyDescent="0.25">
      <c r="A378" s="14"/>
      <c r="B378" s="462" t="s">
        <v>356</v>
      </c>
      <c r="C378" s="309" t="s">
        <v>703</v>
      </c>
      <c r="D378" s="309" t="s">
        <v>704</v>
      </c>
      <c r="E378" s="310" t="s">
        <v>705</v>
      </c>
      <c r="F378" s="350"/>
      <c r="G378" s="10"/>
      <c r="H378" s="10"/>
      <c r="N378" s="3"/>
      <c r="O378" s="37"/>
      <c r="P378" s="37"/>
      <c r="Q378" s="37"/>
      <c r="R378" s="45"/>
      <c r="S378" s="45"/>
      <c r="T378" s="45"/>
      <c r="U378" s="250"/>
      <c r="V378" s="45"/>
      <c r="W378" s="7"/>
      <c r="X378" s="7"/>
    </row>
    <row r="379" spans="1:24" x14ac:dyDescent="0.2">
      <c r="A379" s="14"/>
      <c r="B379" s="344" t="s">
        <v>36</v>
      </c>
      <c r="C379" s="334">
        <f>E272</f>
        <v>15586.091243236993</v>
      </c>
      <c r="D379" s="334">
        <f>H272</f>
        <v>271.49139271732719</v>
      </c>
      <c r="E379" s="335">
        <f>-I272</f>
        <v>-68.031082866602759</v>
      </c>
      <c r="F379" s="250"/>
      <c r="G379" s="10"/>
      <c r="H379" s="10"/>
      <c r="N379" s="3"/>
      <c r="O379" s="37"/>
      <c r="P379" s="37"/>
      <c r="Q379" s="37"/>
      <c r="R379" s="45"/>
      <c r="S379" s="45"/>
      <c r="T379" s="45"/>
      <c r="U379" s="250"/>
      <c r="V379" s="45"/>
      <c r="W379" s="7"/>
      <c r="X379" s="7"/>
    </row>
    <row r="380" spans="1:24" x14ac:dyDescent="0.2">
      <c r="A380" s="14"/>
      <c r="B380" s="342" t="s">
        <v>37</v>
      </c>
      <c r="C380" s="46">
        <f>E273</f>
        <v>26652.473326085896</v>
      </c>
      <c r="D380" s="46">
        <f>H273</f>
        <v>461.87902698217152</v>
      </c>
      <c r="E380" s="336">
        <f>-I273</f>
        <v>-66.106167300914692</v>
      </c>
      <c r="F380" s="250"/>
      <c r="G380" s="10"/>
      <c r="H380" s="10"/>
      <c r="N380" s="3"/>
      <c r="O380" s="37"/>
      <c r="P380" s="37"/>
      <c r="Q380" s="37"/>
      <c r="R380" s="45"/>
      <c r="S380" s="45"/>
      <c r="T380" s="45"/>
      <c r="U380" s="250"/>
      <c r="V380" s="45"/>
      <c r="W380" s="7"/>
      <c r="X380" s="7"/>
    </row>
    <row r="381" spans="1:24" ht="13.5" thickBot="1" x14ac:dyDescent="0.25">
      <c r="A381" s="14"/>
      <c r="B381" s="343" t="s">
        <v>38</v>
      </c>
      <c r="C381" s="337">
        <f>E274</f>
        <v>25015.805095470696</v>
      </c>
      <c r="D381" s="337">
        <f>H274</f>
        <v>434.55805802908122</v>
      </c>
      <c r="E381" s="338">
        <f>-I274</f>
        <v>-74.219355806856186</v>
      </c>
      <c r="F381" s="250"/>
      <c r="G381" s="10"/>
      <c r="H381" s="10"/>
      <c r="N381" s="3"/>
      <c r="O381" s="37"/>
      <c r="P381" s="37"/>
      <c r="Q381" s="37"/>
      <c r="R381" s="45"/>
      <c r="S381" s="45"/>
      <c r="T381" s="45"/>
      <c r="U381" s="250"/>
      <c r="V381" s="45"/>
      <c r="W381" s="7"/>
      <c r="X381" s="7"/>
    </row>
    <row r="382" spans="1:24" x14ac:dyDescent="0.2">
      <c r="A382" s="14"/>
      <c r="B382" s="10"/>
      <c r="C382" s="10"/>
      <c r="D382" s="10"/>
      <c r="E382" s="10"/>
      <c r="F382" s="10"/>
      <c r="G382" s="10"/>
      <c r="H382" s="10"/>
      <c r="N382" s="3"/>
      <c r="O382" s="37"/>
      <c r="P382" s="37"/>
      <c r="Q382" s="37"/>
      <c r="R382" s="45"/>
      <c r="S382" s="45"/>
      <c r="T382" s="45"/>
      <c r="U382" s="250"/>
      <c r="V382" s="45"/>
      <c r="W382" s="7"/>
      <c r="X382" s="7"/>
    </row>
    <row r="383" spans="1:24" x14ac:dyDescent="0.2">
      <c r="A383" s="14"/>
      <c r="B383" s="332" t="s">
        <v>357</v>
      </c>
      <c r="C383" s="10"/>
      <c r="D383" s="10"/>
      <c r="E383" s="10"/>
      <c r="F383" s="10"/>
      <c r="G383" s="10"/>
      <c r="H383" s="10"/>
      <c r="N383" s="3"/>
      <c r="O383" s="37"/>
      <c r="P383" s="37"/>
      <c r="Q383" s="37"/>
      <c r="R383" s="45"/>
      <c r="S383" s="45"/>
      <c r="T383" s="45"/>
      <c r="U383" s="250"/>
      <c r="V383" s="45"/>
      <c r="W383" s="7"/>
      <c r="X383" s="7"/>
    </row>
    <row r="384" spans="1:24" ht="13.5" thickBot="1" x14ac:dyDescent="0.25">
      <c r="A384" s="14"/>
      <c r="B384" s="10"/>
      <c r="C384" s="10"/>
      <c r="D384" s="10"/>
      <c r="E384" s="10"/>
      <c r="F384" s="10"/>
      <c r="G384" s="10"/>
      <c r="H384" s="10"/>
      <c r="N384" s="3"/>
      <c r="O384" s="37"/>
      <c r="P384" s="37"/>
      <c r="Q384" s="37"/>
      <c r="R384" s="45"/>
      <c r="S384" s="45"/>
      <c r="T384" s="45"/>
      <c r="U384" s="250"/>
      <c r="V384" s="45"/>
      <c r="W384" s="7"/>
      <c r="X384" s="7"/>
    </row>
    <row r="385" spans="1:24" ht="27.75" thickBot="1" x14ac:dyDescent="0.25">
      <c r="A385" s="14"/>
      <c r="B385" s="462" t="s">
        <v>356</v>
      </c>
      <c r="C385" s="309" t="s">
        <v>703</v>
      </c>
      <c r="D385" s="309" t="s">
        <v>704</v>
      </c>
      <c r="E385" s="310" t="s">
        <v>705</v>
      </c>
      <c r="F385" s="350"/>
      <c r="G385" s="10"/>
      <c r="H385" s="10"/>
      <c r="N385" s="3"/>
      <c r="O385" s="37"/>
      <c r="P385" s="37"/>
      <c r="Q385" s="37"/>
      <c r="R385" s="45"/>
      <c r="S385" s="45"/>
      <c r="T385" s="45"/>
      <c r="U385" s="250"/>
      <c r="V385" s="45"/>
      <c r="W385" s="7"/>
      <c r="X385" s="7"/>
    </row>
    <row r="386" spans="1:24" x14ac:dyDescent="0.2">
      <c r="A386" s="14"/>
      <c r="B386" s="344" t="s">
        <v>36</v>
      </c>
      <c r="C386" s="334">
        <f>E316</f>
        <v>16180.820910075226</v>
      </c>
      <c r="D386" s="334">
        <f>H316</f>
        <v>125.22621988938889</v>
      </c>
      <c r="E386" s="335">
        <f>-I316</f>
        <v>-49.442798573141118</v>
      </c>
      <c r="F386" s="250"/>
      <c r="G386" s="10"/>
      <c r="H386" s="10"/>
      <c r="N386" s="3"/>
      <c r="O386" s="37"/>
      <c r="P386" s="37"/>
      <c r="Q386" s="37"/>
      <c r="R386" s="45"/>
      <c r="S386" s="45"/>
      <c r="T386" s="45"/>
      <c r="U386" s="250"/>
      <c r="V386" s="45"/>
      <c r="W386" s="7"/>
      <c r="X386" s="7"/>
    </row>
    <row r="387" spans="1:24" x14ac:dyDescent="0.2">
      <c r="A387" s="14"/>
      <c r="B387" s="342" t="s">
        <v>37</v>
      </c>
      <c r="C387" s="46">
        <f>E317</f>
        <v>27543.024753091217</v>
      </c>
      <c r="D387" s="46">
        <f>H317</f>
        <v>233.20609403711299</v>
      </c>
      <c r="E387" s="336">
        <f>-I317</f>
        <v>-44.039111145932999</v>
      </c>
      <c r="F387" s="250"/>
      <c r="G387" s="10"/>
      <c r="H387" s="10"/>
      <c r="N387" s="3"/>
      <c r="O387" s="37"/>
      <c r="P387" s="37"/>
      <c r="Q387" s="37"/>
      <c r="R387" s="45"/>
      <c r="S387" s="45"/>
      <c r="T387" s="45"/>
      <c r="U387" s="250"/>
      <c r="V387" s="45"/>
      <c r="W387" s="7"/>
      <c r="X387" s="7"/>
    </row>
    <row r="388" spans="1:24" ht="13.5" thickBot="1" x14ac:dyDescent="0.25">
      <c r="A388" s="14"/>
      <c r="B388" s="343" t="s">
        <v>38</v>
      </c>
      <c r="C388" s="337">
        <f>E318</f>
        <v>25907.128059102026</v>
      </c>
      <c r="D388" s="337">
        <f>H318</f>
        <v>210.52271193559815</v>
      </c>
      <c r="E388" s="338">
        <f>-I318</f>
        <v>-51.949528999583457</v>
      </c>
      <c r="F388" s="250"/>
      <c r="G388" s="10"/>
      <c r="H388" s="10"/>
      <c r="N388" s="3"/>
      <c r="O388" s="37"/>
      <c r="P388" s="37"/>
      <c r="Q388" s="37"/>
      <c r="R388" s="45"/>
      <c r="S388" s="45"/>
      <c r="T388" s="45"/>
      <c r="U388" s="250"/>
      <c r="V388" s="45"/>
      <c r="W388" s="7"/>
      <c r="X388" s="7"/>
    </row>
    <row r="389" spans="1:24" x14ac:dyDescent="0.2">
      <c r="A389" s="14"/>
      <c r="B389" s="10"/>
      <c r="C389" s="10"/>
      <c r="D389" s="10"/>
      <c r="E389" s="10"/>
      <c r="F389" s="10"/>
      <c r="G389" s="10"/>
      <c r="H389" s="10"/>
      <c r="N389" s="3"/>
      <c r="O389" s="37"/>
      <c r="P389" s="37"/>
      <c r="Q389" s="37"/>
      <c r="R389" s="45"/>
      <c r="S389" s="45"/>
      <c r="T389" s="45"/>
      <c r="U389" s="250"/>
      <c r="V389" s="45"/>
      <c r="W389" s="7"/>
      <c r="X389" s="7"/>
    </row>
    <row r="390" spans="1:24" x14ac:dyDescent="0.2">
      <c r="A390" s="14"/>
      <c r="B390" s="332" t="s">
        <v>358</v>
      </c>
      <c r="C390" s="10"/>
      <c r="D390" s="10"/>
      <c r="E390" s="10"/>
      <c r="F390" s="10"/>
      <c r="G390" s="10"/>
      <c r="H390" s="10"/>
      <c r="N390" s="3"/>
      <c r="O390" s="37"/>
      <c r="P390" s="37"/>
      <c r="Q390" s="37"/>
      <c r="R390" s="45"/>
      <c r="S390" s="45"/>
      <c r="T390" s="45"/>
      <c r="U390" s="250"/>
      <c r="V390" s="45"/>
      <c r="W390" s="7"/>
      <c r="X390" s="7"/>
    </row>
    <row r="391" spans="1:24" ht="13.5" thickBot="1" x14ac:dyDescent="0.25">
      <c r="A391" s="14"/>
      <c r="B391" s="10"/>
      <c r="C391" s="10"/>
      <c r="D391" s="10"/>
      <c r="E391" s="10"/>
      <c r="F391" s="10"/>
      <c r="G391" s="10"/>
      <c r="H391" s="10"/>
      <c r="N391" s="3"/>
      <c r="O391" s="37"/>
      <c r="P391" s="37"/>
      <c r="Q391" s="37"/>
      <c r="R391" s="45"/>
      <c r="S391" s="45"/>
      <c r="T391" s="45"/>
      <c r="U391" s="250"/>
      <c r="V391" s="45"/>
      <c r="W391" s="7"/>
      <c r="X391" s="7"/>
    </row>
    <row r="392" spans="1:24" ht="27.75" thickBot="1" x14ac:dyDescent="0.25">
      <c r="A392" s="14"/>
      <c r="B392" s="462" t="s">
        <v>356</v>
      </c>
      <c r="C392" s="309" t="s">
        <v>703</v>
      </c>
      <c r="D392" s="309" t="s">
        <v>704</v>
      </c>
      <c r="E392" s="310" t="s">
        <v>705</v>
      </c>
      <c r="F392" s="350"/>
      <c r="G392" s="10"/>
      <c r="H392" s="10"/>
      <c r="N392" s="3"/>
      <c r="O392" s="37"/>
      <c r="P392" s="37"/>
      <c r="Q392" s="37"/>
      <c r="R392" s="45"/>
      <c r="S392" s="45"/>
      <c r="T392" s="45"/>
      <c r="U392" s="250"/>
      <c r="V392" s="45"/>
      <c r="W392" s="7"/>
      <c r="X392" s="7"/>
    </row>
    <row r="393" spans="1:24" x14ac:dyDescent="0.2">
      <c r="A393" s="14"/>
      <c r="B393" s="344" t="s">
        <v>36</v>
      </c>
      <c r="C393" s="334">
        <f>E359</f>
        <v>17180.790273556231</v>
      </c>
      <c r="D393" s="334">
        <f>H359</f>
        <v>201.55520995334371</v>
      </c>
      <c r="E393" s="335">
        <f>-I359</f>
        <v>-84.598025920165881</v>
      </c>
      <c r="F393" s="250"/>
      <c r="G393" s="10"/>
      <c r="H393" s="10"/>
      <c r="N393" s="3"/>
      <c r="O393" s="37"/>
      <c r="P393" s="37"/>
      <c r="Q393" s="37"/>
      <c r="R393" s="45"/>
      <c r="S393" s="45"/>
      <c r="T393" s="45"/>
      <c r="U393" s="250"/>
      <c r="V393" s="45"/>
      <c r="W393" s="7"/>
      <c r="X393" s="7"/>
    </row>
    <row r="394" spans="1:24" x14ac:dyDescent="0.2">
      <c r="A394" s="14"/>
      <c r="B394" s="342" t="s">
        <v>37</v>
      </c>
      <c r="C394" s="46">
        <f>E360</f>
        <v>29235.105010394655</v>
      </c>
      <c r="D394" s="46">
        <f>H360</f>
        <v>380.21987035698885</v>
      </c>
      <c r="E394" s="336">
        <f>-I360</f>
        <v>-74.646031104199068</v>
      </c>
      <c r="F394" s="250"/>
      <c r="G394" s="10"/>
      <c r="H394" s="10"/>
      <c r="N394" s="3"/>
      <c r="O394" s="37"/>
      <c r="P394" s="37"/>
      <c r="Q394" s="37"/>
      <c r="R394" s="45"/>
      <c r="S394" s="45"/>
      <c r="T394" s="45"/>
      <c r="U394" s="250"/>
      <c r="V394" s="45"/>
      <c r="W394" s="7"/>
      <c r="X394" s="7"/>
    </row>
    <row r="395" spans="1:24" ht="13.5" thickBot="1" x14ac:dyDescent="0.25">
      <c r="A395" s="14"/>
      <c r="B395" s="343" t="s">
        <v>38</v>
      </c>
      <c r="C395" s="337">
        <f>E361</f>
        <v>27503.145210364502</v>
      </c>
      <c r="D395" s="337">
        <f>H361</f>
        <v>341.27634264350218</v>
      </c>
      <c r="E395" s="338">
        <f>-I361</f>
        <v>-88.529316365730153</v>
      </c>
      <c r="F395" s="250"/>
      <c r="G395" s="10"/>
      <c r="H395" s="10"/>
      <c r="N395" s="3"/>
      <c r="O395" s="37"/>
      <c r="P395" s="37"/>
      <c r="Q395" s="37"/>
      <c r="R395" s="45"/>
      <c r="S395" s="45"/>
      <c r="T395" s="45"/>
      <c r="U395" s="250"/>
      <c r="V395" s="45"/>
      <c r="W395" s="7"/>
      <c r="X395" s="7"/>
    </row>
    <row r="396" spans="1:24" x14ac:dyDescent="0.2">
      <c r="C396" s="2"/>
      <c r="D396" s="81"/>
      <c r="E396" s="7"/>
      <c r="F396" s="55"/>
      <c r="G396" s="48"/>
      <c r="H396" s="7"/>
    </row>
    <row r="397" spans="1:24" ht="15.75" x14ac:dyDescent="0.2">
      <c r="A397" s="325" t="s">
        <v>644</v>
      </c>
      <c r="C397" s="2"/>
      <c r="D397" s="81"/>
      <c r="E397" s="7"/>
      <c r="F397" s="55"/>
      <c r="G397" s="48"/>
      <c r="H397" s="7"/>
    </row>
    <row r="398" spans="1:24" x14ac:dyDescent="0.2">
      <c r="A398" s="10"/>
      <c r="B398" s="10"/>
      <c r="C398" s="10"/>
      <c r="D398" s="10"/>
      <c r="E398" s="10"/>
      <c r="F398" s="10"/>
      <c r="G398" s="10"/>
      <c r="H398" s="10"/>
      <c r="I398" s="10"/>
      <c r="J398" s="10"/>
      <c r="K398" s="10"/>
      <c r="L398" s="10"/>
    </row>
    <row r="399" spans="1:24" ht="13.5" thickBot="1" x14ac:dyDescent="0.25">
      <c r="A399" s="63" t="s">
        <v>287</v>
      </c>
      <c r="B399" s="10"/>
      <c r="C399" s="10"/>
      <c r="D399" s="10"/>
      <c r="E399" s="10"/>
      <c r="F399" s="10"/>
      <c r="G399" s="10"/>
      <c r="H399" s="10"/>
      <c r="I399" s="10"/>
      <c r="J399" s="2" t="s">
        <v>39</v>
      </c>
      <c r="L399" s="10"/>
    </row>
    <row r="400" spans="1:24" ht="13.5" thickBot="1" x14ac:dyDescent="0.25">
      <c r="A400" s="10"/>
      <c r="B400" s="10"/>
      <c r="C400" s="10"/>
      <c r="D400" s="10"/>
      <c r="E400" s="10"/>
      <c r="F400" s="2" t="s">
        <v>305</v>
      </c>
      <c r="G400" s="713">
        <f>G405/G404</f>
        <v>0.69195514817502146</v>
      </c>
      <c r="H400" s="714">
        <f>H405/H404</f>
        <v>0.65190591131576847</v>
      </c>
      <c r="I400" s="714">
        <f>I405/I404</f>
        <v>0.6308277710316188</v>
      </c>
      <c r="J400" s="715">
        <f>J405/J404</f>
        <v>1.4534651593842127E-2</v>
      </c>
      <c r="K400" s="10"/>
      <c r="L400" s="10"/>
    </row>
    <row r="401" spans="1:12" ht="25.5" x14ac:dyDescent="0.2">
      <c r="A401" s="10"/>
      <c r="B401" s="10"/>
      <c r="C401" s="10"/>
      <c r="D401" s="10"/>
      <c r="E401" s="10"/>
      <c r="F401" s="27" t="s">
        <v>365</v>
      </c>
      <c r="G401" s="716" t="s">
        <v>349</v>
      </c>
      <c r="H401" s="544" t="s">
        <v>364</v>
      </c>
      <c r="I401" s="544" t="s">
        <v>652</v>
      </c>
      <c r="J401" s="717" t="s">
        <v>625</v>
      </c>
      <c r="K401" s="10"/>
    </row>
    <row r="402" spans="1:12" ht="15.75" customHeight="1" x14ac:dyDescent="0.2">
      <c r="A402" s="10"/>
      <c r="B402" s="2" t="s">
        <v>288</v>
      </c>
      <c r="C402" s="51">
        <f>VLOOKUP($B$18,'Allowable Stress Tables'!$A$12:$D$16,2,0)</f>
        <v>23.572547266160793</v>
      </c>
      <c r="D402" s="10"/>
      <c r="F402" s="2" t="s">
        <v>368</v>
      </c>
      <c r="G402" s="377">
        <f>E20</f>
        <v>0</v>
      </c>
      <c r="H402" s="32">
        <f>F20</f>
        <v>1.5</v>
      </c>
      <c r="I402" s="32">
        <f>G20</f>
        <v>11.5</v>
      </c>
      <c r="J402" s="511">
        <f>H20</f>
        <v>23</v>
      </c>
      <c r="K402" s="10"/>
    </row>
    <row r="403" spans="1:12" x14ac:dyDescent="0.2">
      <c r="A403" s="10"/>
      <c r="B403" s="2" t="s">
        <v>361</v>
      </c>
      <c r="C403" s="51">
        <f>VLOOKUP($B$18,'Allowable Stress Tables'!$A$12:$D$16,3,0)</f>
        <v>29.761397041237057</v>
      </c>
      <c r="D403" s="10"/>
      <c r="F403" s="2" t="s">
        <v>366</v>
      </c>
      <c r="G403" s="379">
        <f>'Allowable Stress Tables'!E62</f>
        <v>5.6269330410535767</v>
      </c>
      <c r="H403" s="87">
        <f>'Allowable Stress Tables'!E44</f>
        <v>5.4018557194114338</v>
      </c>
      <c r="I403" s="87">
        <f>'Allowable Stress Tables'!E26</f>
        <v>3.9013402417971461</v>
      </c>
      <c r="J403" s="380">
        <f>'Allowable Stress Tables'!E8</f>
        <v>2.1757474425407159</v>
      </c>
      <c r="K403" s="10"/>
    </row>
    <row r="404" spans="1:12" ht="15.75" customHeight="1" x14ac:dyDescent="0.2">
      <c r="A404" s="10"/>
      <c r="B404" s="2" t="s">
        <v>362</v>
      </c>
      <c r="C404" s="51">
        <f>VLOOKUP($B$18,'Allowable Stress Tables'!$A$12:$D$16,4,0)</f>
        <v>45.265205010199438</v>
      </c>
      <c r="D404" s="10"/>
      <c r="F404" s="2" t="s">
        <v>289</v>
      </c>
      <c r="G404" s="381">
        <f>IF(G403&lt;=$C$402,VLOOKUP($B$18,'Allowable Stress Tables'!$A$66:$G$70,5,0),IF(G403&gt;$C$404,VLOOKUP($B$18,'Allowable Stress Tables'!$A$66:$G$70,7,0),VLOOKUP($B$18,'Allowable Stress Tables'!$A$66:$G$70,6,0)))</f>
        <v>42250</v>
      </c>
      <c r="H404" s="235">
        <f>IF(H403&lt;=$C$402,VLOOKUP($B$18,'Allowable Stress Tables'!$A$48:$G$52,5,0),IF(H403&gt;$C$404,VLOOKUP($B$18,'Allowable Stress Tables'!$A$48:$G$52,7,0),VLOOKUP($B$18,'Allowable Stress Tables'!$A$48:$G$52,6,0)))</f>
        <v>42250</v>
      </c>
      <c r="I404" s="235">
        <f>IF(I403&lt;=$C$402,VLOOKUP($B$18,'Allowable Stress Tables'!$A$30:$G$34,5,0),IF(I403&gt;$C$404,VLOOKUP($B$18,'Allowable Stress Tables'!$A$30:$G$34,7,0),VLOOKUP($B$18,'Allowable Stress Tables'!$A$30:$G$34,6,0)))</f>
        <v>42250</v>
      </c>
      <c r="J404" s="382">
        <f>IF(J403&lt;=$C$402,VLOOKUP($B$18,'Allowable Stress Tables'!$A$12:$G$16,5,0),IF(J403&gt;$C$404,VLOOKUP($B$18,'Allowable Stress Tables'!$A$12:$G$16,7,0),VLOOKUP($B$18,'Allowable Stress Tables'!$A$12:$G$16,6,0)))</f>
        <v>42250</v>
      </c>
      <c r="K404" s="10"/>
    </row>
    <row r="405" spans="1:12" ht="16.5" thickBot="1" x14ac:dyDescent="0.25">
      <c r="A405" s="10"/>
      <c r="B405" s="2"/>
      <c r="C405" s="10"/>
      <c r="D405" s="10"/>
      <c r="E405" s="10"/>
      <c r="F405" s="2" t="s">
        <v>290</v>
      </c>
      <c r="G405" s="386">
        <f>MAX(C393:C395)</f>
        <v>29235.105010394655</v>
      </c>
      <c r="H405" s="387">
        <f>MAX(C386:C388)</f>
        <v>27543.024753091217</v>
      </c>
      <c r="I405" s="387">
        <f>MAX(C379:C381)</f>
        <v>26652.473326085896</v>
      </c>
      <c r="J405" s="388">
        <f>MAX(C372:C374)</f>
        <v>614.08902983982989</v>
      </c>
      <c r="K405" s="10"/>
    </row>
    <row r="406" spans="1:12" ht="13.5" thickBot="1" x14ac:dyDescent="0.25">
      <c r="A406" s="10"/>
      <c r="B406" s="10"/>
      <c r="C406" s="50"/>
      <c r="D406" s="10"/>
      <c r="E406" s="10"/>
      <c r="F406" s="2" t="s">
        <v>296</v>
      </c>
      <c r="G406" s="383" t="str">
        <f>IF(G405&lt;G404,"OK","NG")</f>
        <v>OK</v>
      </c>
      <c r="H406" s="384" t="str">
        <f>IF(H405&lt;H404,"OK","NG")</f>
        <v>OK</v>
      </c>
      <c r="I406" s="384" t="str">
        <f>IF(I405&lt;I404,"OK","NG")</f>
        <v>OK</v>
      </c>
      <c r="J406" s="385" t="str">
        <f>IF(J405&lt;J404,"OK","NG")</f>
        <v>OK</v>
      </c>
      <c r="K406" s="10"/>
      <c r="L406" s="10"/>
    </row>
    <row r="407" spans="1:12" x14ac:dyDescent="0.2">
      <c r="A407" s="10"/>
      <c r="B407" s="10"/>
      <c r="C407" s="50"/>
      <c r="D407" s="10"/>
      <c r="E407" s="10"/>
      <c r="F407" s="10"/>
      <c r="G407" s="10"/>
      <c r="H407" s="10"/>
      <c r="I407" s="10"/>
      <c r="J407" s="10"/>
      <c r="K407" s="10"/>
      <c r="L407" s="10"/>
    </row>
    <row r="408" spans="1:12" x14ac:dyDescent="0.2">
      <c r="A408" s="63" t="s">
        <v>367</v>
      </c>
      <c r="B408" s="10"/>
      <c r="C408" s="10"/>
      <c r="D408" s="10"/>
      <c r="E408" s="10"/>
      <c r="F408" s="10"/>
      <c r="G408" s="10"/>
      <c r="H408" s="10"/>
      <c r="I408" s="10"/>
      <c r="J408" s="2" t="s">
        <v>475</v>
      </c>
    </row>
    <row r="409" spans="1:12" ht="13.5" thickBot="1" x14ac:dyDescent="0.25">
      <c r="A409" s="14"/>
      <c r="B409" s="10"/>
      <c r="C409" s="10"/>
      <c r="D409" s="10"/>
      <c r="K409" s="10"/>
      <c r="L409" s="10"/>
    </row>
    <row r="410" spans="1:12" ht="13.5" thickBot="1" x14ac:dyDescent="0.25">
      <c r="A410" s="36" t="s">
        <v>90</v>
      </c>
      <c r="B410" s="10"/>
      <c r="C410" s="10"/>
      <c r="D410" s="10"/>
      <c r="E410" s="10"/>
      <c r="F410" s="2" t="s">
        <v>305</v>
      </c>
      <c r="G410" s="718">
        <f>G415/G414</f>
        <v>1.77258680819109E-2</v>
      </c>
      <c r="H410" s="719">
        <f>H415/H414</f>
        <v>1.0872078976089184E-2</v>
      </c>
      <c r="I410" s="719">
        <f>I415/I414</f>
        <v>2.1532821770730608E-2</v>
      </c>
      <c r="J410" s="720">
        <f>J415/J414</f>
        <v>2.9385449016645845E-2</v>
      </c>
      <c r="K410" s="10"/>
      <c r="L410" s="10"/>
    </row>
    <row r="411" spans="1:12" ht="24.75" customHeight="1" x14ac:dyDescent="0.2">
      <c r="A411" s="6" t="s">
        <v>291</v>
      </c>
      <c r="B411" s="34" t="str">
        <f>IF(B18="Round","1.16 · (E · Fy)^(2/3)","2.23 · √(E ÷ Fy)")</f>
        <v>2.23 · √(E ÷ Fy)</v>
      </c>
      <c r="C411" s="2"/>
      <c r="D411" s="3"/>
      <c r="E411" s="10"/>
      <c r="F411" s="27" t="s">
        <v>365</v>
      </c>
      <c r="G411" s="716" t="s">
        <v>349</v>
      </c>
      <c r="H411" s="544" t="s">
        <v>364</v>
      </c>
      <c r="I411" s="544" t="s">
        <v>652</v>
      </c>
      <c r="J411" s="717" t="s">
        <v>625</v>
      </c>
      <c r="K411" s="10"/>
      <c r="L411" s="10"/>
    </row>
    <row r="412" spans="1:12" ht="15.75" customHeight="1" x14ac:dyDescent="0.2">
      <c r="A412" s="2" t="s">
        <v>292</v>
      </c>
      <c r="B412" s="87">
        <f>IF(B18="Round",1.16*(29000000/A9)^(2/3),2.23*SQRT(29000000/A9))</f>
        <v>47.102849823959289</v>
      </c>
      <c r="C412" s="2"/>
      <c r="D412" s="3"/>
      <c r="E412" s="10"/>
      <c r="F412" s="2" t="s">
        <v>368</v>
      </c>
      <c r="G412" s="375">
        <f t="shared" ref="G412:J413" si="24">G402</f>
        <v>0</v>
      </c>
      <c r="H412" s="370">
        <f t="shared" si="24"/>
        <v>1.5</v>
      </c>
      <c r="I412" s="370">
        <f t="shared" si="24"/>
        <v>11.5</v>
      </c>
      <c r="J412" s="376">
        <f t="shared" si="24"/>
        <v>23</v>
      </c>
      <c r="K412" s="10"/>
      <c r="L412" s="10"/>
    </row>
    <row r="413" spans="1:12" ht="15.75" customHeight="1" x14ac:dyDescent="0.2">
      <c r="A413" s="2"/>
      <c r="B413" s="10"/>
      <c r="C413" s="10"/>
      <c r="D413" s="3"/>
      <c r="E413" s="10"/>
      <c r="F413" s="2" t="s">
        <v>372</v>
      </c>
      <c r="G413" s="379">
        <f t="shared" si="24"/>
        <v>5.6269330410535767</v>
      </c>
      <c r="H413" s="87">
        <f t="shared" si="24"/>
        <v>5.4018557194114338</v>
      </c>
      <c r="I413" s="87">
        <f t="shared" si="24"/>
        <v>3.9013402417971461</v>
      </c>
      <c r="J413" s="380">
        <f t="shared" si="24"/>
        <v>2.1757474425407159</v>
      </c>
      <c r="K413" s="10"/>
      <c r="L413" s="10"/>
    </row>
    <row r="414" spans="1:12" ht="15.75" x14ac:dyDescent="0.2">
      <c r="A414" s="10"/>
      <c r="B414" s="2" t="str">
        <f>"If D/t, b/t ≤ "&amp;ROUND(B412,2)&amp;", Fv ="</f>
        <v>If D/t, b/t ≤ 47.1, Fv =</v>
      </c>
      <c r="C414" s="10" t="s">
        <v>369</v>
      </c>
      <c r="D414" s="10"/>
      <c r="E414" s="10"/>
      <c r="F414" s="2" t="s">
        <v>370</v>
      </c>
      <c r="G414" s="377">
        <f>IF(G413&lt;=$B$412,0.33*$A$9,IF($B$18="Round",(0.41*29000000)/G413^(3/2),(1.64*29000000)/G413^2))</f>
        <v>21450</v>
      </c>
      <c r="H414" s="32">
        <f>IF(H413&lt;=$B$412,0.33*$A$9,IF($B$18="Round",(0.41*29000000)/H413^(3/2),(1.64*29000000)/H413^2))</f>
        <v>21450</v>
      </c>
      <c r="I414" s="32">
        <f>IF(I413&lt;=$B$412,0.33*$A$9,IF($B$18="Round",(0.41*29000000)/I413^(3/2),(1.64*29000000)/I413^2))</f>
        <v>21450</v>
      </c>
      <c r="J414" s="378">
        <f>IF(J413&lt;=$B$412,0.33*$A$9,IF($B$18="Round",(0.41*29000000)/J413^(3/2),(1.64*29000000)/J413^2))</f>
        <v>21450</v>
      </c>
      <c r="K414" s="10"/>
      <c r="L414" s="10"/>
    </row>
    <row r="415" spans="1:12" ht="28.5" customHeight="1" thickBot="1" x14ac:dyDescent="0.25">
      <c r="A415" s="10"/>
      <c r="D415" s="10"/>
      <c r="E415" s="897" t="s">
        <v>371</v>
      </c>
      <c r="F415" s="898"/>
      <c r="G415" s="391">
        <f>MAX(D393:D395)</f>
        <v>380.21987035698885</v>
      </c>
      <c r="H415" s="392">
        <f>MAX(D386:D388)</f>
        <v>233.20609403711299</v>
      </c>
      <c r="I415" s="392">
        <f>MAX(D379:D381)</f>
        <v>461.87902698217152</v>
      </c>
      <c r="J415" s="388">
        <f>MAX(D372:D374)</f>
        <v>630.31788140705339</v>
      </c>
      <c r="K415" s="10"/>
      <c r="L415" s="10"/>
    </row>
    <row r="416" spans="1:12" ht="13.5" thickBot="1" x14ac:dyDescent="0.25">
      <c r="A416" s="36"/>
      <c r="B416" s="2" t="str">
        <f>"If D/t, b/t &gt; "&amp;ROUND(B412,2)&amp;", Fv ="</f>
        <v>If D/t, b/t &gt; 47.1, Fv =</v>
      </c>
      <c r="C416" s="10" t="str">
        <f>IF(B18="Round","(0.41 · E) ÷ (D/t)^3/2","(1.64 · E) ÷ (b/t)²")</f>
        <v>(1.64 · E) ÷ (b/t)²</v>
      </c>
      <c r="D416" s="10"/>
      <c r="E416" s="10"/>
      <c r="F416" s="2" t="s">
        <v>256</v>
      </c>
      <c r="G416" s="383" t="str">
        <f>IF(G415&lt;G414,"OK","NG")</f>
        <v>OK</v>
      </c>
      <c r="H416" s="384" t="str">
        <f>IF(H415&lt;H414,"OK","NG")</f>
        <v>OK</v>
      </c>
      <c r="I416" s="384" t="str">
        <f>IF(I415&lt;I414,"OK","NG")</f>
        <v>OK</v>
      </c>
      <c r="J416" s="385" t="str">
        <f>IF(J415&lt;J414,"OK","NG")</f>
        <v>OK</v>
      </c>
      <c r="K416" s="10"/>
      <c r="L416" s="10"/>
    </row>
    <row r="417" spans="1:14" x14ac:dyDescent="0.2">
      <c r="A417" s="36"/>
      <c r="B417" s="10"/>
      <c r="C417" s="10"/>
      <c r="D417" s="10"/>
      <c r="E417" s="10"/>
      <c r="J417" s="10"/>
      <c r="K417" s="10"/>
      <c r="L417" s="10"/>
    </row>
    <row r="418" spans="1:14" x14ac:dyDescent="0.2">
      <c r="A418" s="36"/>
      <c r="B418" s="10"/>
      <c r="C418" s="10"/>
      <c r="D418" s="10"/>
      <c r="E418" s="10"/>
      <c r="F418" s="2"/>
      <c r="G418" s="83"/>
      <c r="H418" s="83"/>
      <c r="I418" s="83"/>
      <c r="J418" s="10"/>
      <c r="K418" s="10"/>
      <c r="L418" s="10"/>
    </row>
    <row r="419" spans="1:14" x14ac:dyDescent="0.2">
      <c r="A419" s="63" t="s">
        <v>476</v>
      </c>
      <c r="B419" s="10"/>
      <c r="C419" s="10"/>
      <c r="D419" s="10"/>
      <c r="E419" s="10"/>
      <c r="F419" s="10"/>
      <c r="G419" s="10"/>
      <c r="H419" s="10"/>
      <c r="I419" s="10"/>
      <c r="J419" s="6" t="s">
        <v>477</v>
      </c>
    </row>
    <row r="420" spans="1:14" x14ac:dyDescent="0.2">
      <c r="A420" s="66"/>
      <c r="B420" s="5"/>
      <c r="C420" s="10"/>
      <c r="D420" s="10"/>
      <c r="E420" s="10"/>
      <c r="F420" s="10"/>
      <c r="G420" s="10"/>
      <c r="H420" s="10"/>
      <c r="I420" s="10"/>
      <c r="J420" s="10"/>
      <c r="K420" s="10"/>
      <c r="L420" s="10"/>
    </row>
    <row r="421" spans="1:14" x14ac:dyDescent="0.2">
      <c r="A421" s="66"/>
      <c r="B421" s="84" t="s">
        <v>91</v>
      </c>
      <c r="C421" s="353">
        <f>+C422*C423*12/C424</f>
        <v>349.40921147817704</v>
      </c>
      <c r="D421" s="10"/>
      <c r="E421" s="10"/>
      <c r="F421" s="10"/>
      <c r="G421" s="10"/>
      <c r="H421" s="10"/>
      <c r="I421" s="10"/>
      <c r="J421" s="10"/>
      <c r="K421" s="10"/>
      <c r="L421" s="10"/>
    </row>
    <row r="422" spans="1:14" x14ac:dyDescent="0.2">
      <c r="A422" s="66"/>
      <c r="B422" s="6" t="s">
        <v>92</v>
      </c>
      <c r="C422" s="49">
        <v>2.1</v>
      </c>
      <c r="D422" s="10" t="s">
        <v>93</v>
      </c>
      <c r="E422" s="10"/>
      <c r="F422" s="10"/>
      <c r="G422" s="10"/>
      <c r="H422" s="10"/>
      <c r="I422" s="10"/>
      <c r="J422" s="10"/>
      <c r="K422" s="10"/>
      <c r="L422" s="10"/>
    </row>
    <row r="423" spans="1:14" x14ac:dyDescent="0.2">
      <c r="A423" s="66"/>
      <c r="B423" s="6" t="s">
        <v>94</v>
      </c>
      <c r="C423" s="49">
        <f>H20</f>
        <v>23</v>
      </c>
      <c r="D423" s="10" t="s">
        <v>95</v>
      </c>
      <c r="E423" s="10"/>
      <c r="F423" s="10"/>
      <c r="G423" s="10"/>
      <c r="H423" s="10"/>
      <c r="I423" s="10"/>
      <c r="J423" s="10"/>
      <c r="K423" s="10"/>
      <c r="L423" s="10"/>
    </row>
    <row r="424" spans="1:14" x14ac:dyDescent="0.2">
      <c r="A424" s="66"/>
      <c r="B424" s="6" t="s">
        <v>96</v>
      </c>
      <c r="C424" s="49">
        <f>G26</f>
        <v>1.6587999999999998</v>
      </c>
      <c r="D424" s="10" t="s">
        <v>97</v>
      </c>
      <c r="E424" s="10"/>
      <c r="F424" s="10"/>
      <c r="G424" s="10"/>
      <c r="H424" s="10"/>
      <c r="I424" s="10"/>
      <c r="J424" s="10"/>
      <c r="K424" s="10"/>
      <c r="L424" s="10"/>
    </row>
    <row r="425" spans="1:14" ht="24.75" customHeight="1" x14ac:dyDescent="0.2">
      <c r="A425" s="66"/>
      <c r="B425" s="27" t="s">
        <v>98</v>
      </c>
      <c r="C425" s="570">
        <f>(2*(PI())^2*29000000/(A9))^0.5</f>
        <v>93.844147005158973</v>
      </c>
      <c r="D425" s="10"/>
      <c r="E425" s="879" t="s">
        <v>757</v>
      </c>
      <c r="F425" s="879"/>
      <c r="G425" s="879"/>
      <c r="H425" s="879"/>
      <c r="I425" s="879"/>
      <c r="J425" s="10"/>
      <c r="K425" s="10"/>
      <c r="L425" s="10"/>
    </row>
    <row r="426" spans="1:14" ht="15.75" customHeight="1" x14ac:dyDescent="0.3">
      <c r="A426" s="66"/>
      <c r="B426" s="239" t="s">
        <v>99</v>
      </c>
      <c r="C426" s="354">
        <f>IF(C421&lt;C425,((1-(C421)^2/(2*C425^2))*A9)/(5/3+((3*C421)/(8*C425))-((C421^3)/(8*(C425)^3))),((12*PI()^2)*29000000)/(23*C421^2))</f>
        <v>1223.15769853758</v>
      </c>
      <c r="D426" s="10" t="s">
        <v>40</v>
      </c>
      <c r="E426" s="10"/>
      <c r="F426" s="10"/>
      <c r="G426" s="10"/>
      <c r="H426" s="10"/>
      <c r="I426" s="10"/>
      <c r="J426" s="10"/>
      <c r="K426" s="10"/>
      <c r="L426" s="10"/>
    </row>
    <row r="427" spans="1:14" ht="26.25" customHeight="1" thickBot="1" x14ac:dyDescent="0.25">
      <c r="A427" s="66"/>
      <c r="B427" s="559" t="s">
        <v>100</v>
      </c>
      <c r="C427" s="467">
        <f>MAX(D354:D356)/H25</f>
        <v>182.60997600191865</v>
      </c>
      <c r="D427" s="29" t="s">
        <v>40</v>
      </c>
      <c r="E427" s="879" t="s">
        <v>630</v>
      </c>
      <c r="F427" s="879"/>
      <c r="G427" s="879"/>
      <c r="H427" s="879"/>
      <c r="I427" s="879"/>
      <c r="J427" s="10"/>
      <c r="K427" s="10"/>
      <c r="L427" s="10"/>
    </row>
    <row r="428" spans="1:14" ht="13.5" thickBot="1" x14ac:dyDescent="0.25">
      <c r="A428" s="10"/>
      <c r="B428" s="2" t="s">
        <v>296</v>
      </c>
      <c r="C428" s="57" t="str">
        <f>IF(C427&lt;C426,"OK","NG")</f>
        <v>OK</v>
      </c>
      <c r="D428" s="10"/>
      <c r="E428" s="10"/>
      <c r="F428" s="10"/>
      <c r="G428" s="10"/>
      <c r="H428" s="10"/>
      <c r="I428" s="10"/>
      <c r="J428" s="10"/>
      <c r="K428" s="10"/>
      <c r="L428" s="10"/>
    </row>
    <row r="429" spans="1:14" x14ac:dyDescent="0.2">
      <c r="A429" s="10"/>
      <c r="L429" s="10"/>
    </row>
    <row r="430" spans="1:14" ht="15.75" customHeight="1" x14ac:dyDescent="0.2">
      <c r="A430" s="455" t="s">
        <v>294</v>
      </c>
      <c r="B430" s="10"/>
      <c r="C430" s="10"/>
      <c r="D430" s="10"/>
      <c r="E430" s="10"/>
      <c r="K430" s="10"/>
      <c r="L430" s="10"/>
    </row>
    <row r="431" spans="1:14" ht="15.75" customHeight="1" x14ac:dyDescent="0.2">
      <c r="A431" s="14"/>
      <c r="B431" s="569" t="s">
        <v>783</v>
      </c>
      <c r="C431" s="10"/>
      <c r="D431" s="10"/>
      <c r="E431" s="10"/>
      <c r="J431" s="10"/>
      <c r="K431" s="10"/>
      <c r="L431" s="10"/>
    </row>
    <row r="432" spans="1:14" s="26" customFormat="1" ht="15.75" customHeight="1" x14ac:dyDescent="0.2">
      <c r="A432" s="261"/>
      <c r="C432" s="22"/>
      <c r="D432" s="22"/>
      <c r="E432" s="22"/>
      <c r="F432" s="22"/>
      <c r="G432" s="22"/>
      <c r="H432" s="22"/>
      <c r="I432" s="22"/>
      <c r="J432" s="68" t="s">
        <v>373</v>
      </c>
      <c r="K432" s="22"/>
      <c r="L432" s="22"/>
      <c r="N432" s="26">
        <f>D354/1000*(E23/H23)^(1/3)+0.38*F68/1000</f>
        <v>0.99058395749862493</v>
      </c>
    </row>
    <row r="433" spans="1:14" s="26" customFormat="1" ht="15.75" customHeight="1" x14ac:dyDescent="0.2">
      <c r="A433" s="261"/>
      <c r="B433" s="68" t="s">
        <v>143</v>
      </c>
      <c r="C433" s="359">
        <f>IF(C435&lt;=C436,MIN(1-N432/N433,1),1)</f>
        <v>0.98946510075400329</v>
      </c>
      <c r="D433" s="22"/>
      <c r="E433" s="22"/>
      <c r="F433" s="22"/>
      <c r="G433" s="22"/>
      <c r="H433" s="22"/>
      <c r="I433" s="22"/>
      <c r="K433" s="22"/>
      <c r="L433" s="22"/>
      <c r="N433" s="26">
        <f>2.46*29000*E23/(G20*12)^2</f>
        <v>94.028802209480347</v>
      </c>
    </row>
    <row r="434" spans="1:14" s="26" customFormat="1" x14ac:dyDescent="0.2">
      <c r="A434" s="261"/>
      <c r="B434" s="68" t="s">
        <v>374</v>
      </c>
      <c r="C434" s="360"/>
      <c r="D434" s="22"/>
      <c r="E434" s="22"/>
      <c r="F434" s="22"/>
      <c r="G434" s="22"/>
      <c r="H434" s="22"/>
      <c r="I434" s="22"/>
      <c r="K434" s="22"/>
      <c r="L434" s="22"/>
    </row>
    <row r="435" spans="1:14" s="26" customFormat="1" ht="15.75" x14ac:dyDescent="0.2">
      <c r="A435" s="261"/>
      <c r="B435" s="68" t="s">
        <v>375</v>
      </c>
      <c r="C435" s="359">
        <f>SQRT(2*PI()^2*29000000/A9)</f>
        <v>93.844147005158973</v>
      </c>
      <c r="D435" s="22"/>
      <c r="E435" s="22"/>
      <c r="F435" s="22"/>
      <c r="G435" s="22"/>
      <c r="H435" s="22"/>
      <c r="I435" s="22"/>
      <c r="K435" s="22"/>
      <c r="L435" s="22"/>
    </row>
    <row r="436" spans="1:14" s="26" customFormat="1" x14ac:dyDescent="0.2">
      <c r="A436" s="261"/>
      <c r="B436" s="68" t="s">
        <v>91</v>
      </c>
      <c r="C436" s="359">
        <f>C421</f>
        <v>349.40921147817704</v>
      </c>
      <c r="D436" s="22"/>
      <c r="E436" s="22"/>
      <c r="F436" s="22"/>
      <c r="G436" s="22"/>
      <c r="H436" s="22"/>
      <c r="I436" s="22"/>
      <c r="K436" s="22"/>
      <c r="L436" s="22"/>
    </row>
    <row r="437" spans="1:14" s="26" customFormat="1" x14ac:dyDescent="0.2">
      <c r="A437" s="261"/>
      <c r="B437" s="68" t="s">
        <v>296</v>
      </c>
      <c r="C437" s="554" t="str">
        <f>IF(C435&lt;=C436,"AASHTO Eqn 4-1 is valid","Moment Amplification Equation is not valid =&gt; Use 1.0 for Amplification Factor")</f>
        <v>AASHTO Eqn 4-1 is valid</v>
      </c>
      <c r="D437" s="22"/>
      <c r="E437" s="22"/>
      <c r="F437" s="22"/>
      <c r="G437" s="22"/>
      <c r="H437" s="22"/>
      <c r="I437" s="22"/>
      <c r="K437" s="22"/>
      <c r="L437" s="22"/>
    </row>
    <row r="438" spans="1:14" x14ac:dyDescent="0.2">
      <c r="A438" s="14"/>
      <c r="B438" s="10"/>
      <c r="C438" s="10"/>
      <c r="D438" s="10"/>
      <c r="E438" s="10"/>
      <c r="J438" s="10"/>
      <c r="K438" s="10"/>
      <c r="L438" s="10"/>
    </row>
    <row r="439" spans="1:14" ht="16.5" thickBot="1" x14ac:dyDescent="0.25">
      <c r="A439" s="10"/>
      <c r="B439" s="10"/>
      <c r="C439" s="2" t="s">
        <v>520</v>
      </c>
      <c r="D439" s="31" t="s">
        <v>293</v>
      </c>
      <c r="E439" s="10"/>
      <c r="F439" s="10"/>
      <c r="G439" s="10"/>
      <c r="H439" s="10"/>
      <c r="I439" s="10"/>
      <c r="J439" s="2" t="s">
        <v>376</v>
      </c>
      <c r="K439" s="10"/>
      <c r="L439" s="10"/>
    </row>
    <row r="440" spans="1:14" ht="39" thickBot="1" x14ac:dyDescent="0.25">
      <c r="A440" s="10"/>
      <c r="B440" s="10"/>
      <c r="C440" s="10"/>
      <c r="D440" s="10"/>
      <c r="E440" s="10"/>
      <c r="F440" s="27" t="s">
        <v>365</v>
      </c>
      <c r="G440" s="341" t="s">
        <v>349</v>
      </c>
      <c r="H440" s="393" t="s">
        <v>101</v>
      </c>
      <c r="I440" s="459" t="s">
        <v>652</v>
      </c>
      <c r="J440" s="418" t="s">
        <v>625</v>
      </c>
      <c r="K440" s="705"/>
      <c r="L440" s="10"/>
    </row>
    <row r="441" spans="1:14" x14ac:dyDescent="0.2">
      <c r="A441" s="10"/>
      <c r="B441" s="10"/>
      <c r="C441" s="10"/>
      <c r="D441" s="10"/>
      <c r="E441" s="10"/>
      <c r="F441" s="2" t="s">
        <v>368</v>
      </c>
      <c r="G441" s="508">
        <f>G412</f>
        <v>0</v>
      </c>
      <c r="H441" s="506">
        <f>H412</f>
        <v>1.5</v>
      </c>
      <c r="I441" s="506">
        <f>I412</f>
        <v>11.5</v>
      </c>
      <c r="J441" s="509">
        <f>J412</f>
        <v>23</v>
      </c>
      <c r="K441" s="10"/>
      <c r="L441" s="10"/>
    </row>
    <row r="442" spans="1:14" x14ac:dyDescent="0.2">
      <c r="A442" s="10"/>
      <c r="B442" s="10"/>
      <c r="C442" s="10"/>
      <c r="D442" s="10"/>
      <c r="E442" s="10"/>
      <c r="F442" s="2" t="s">
        <v>595</v>
      </c>
      <c r="G442" s="507">
        <f>ROUND(ABS(E394)/(0.6*$A$9)+C394/($C$433*G404)+(D394/G414)^2,2)</f>
        <v>0.7</v>
      </c>
      <c r="H442" s="46">
        <f>ROUND(ABS(E387)/(0.6*$A$9)+C387/($C$433*H404)+(D387/H414)^2,2)</f>
        <v>0.66</v>
      </c>
      <c r="I442" s="46">
        <f>ROUND(ABS(E380)/(0.6*$A$9)+C380/(1*I404)+(D380/I414)^2,2)</f>
        <v>0.63</v>
      </c>
      <c r="J442" s="336">
        <f>ROUND(ABS(E373)/(0.6*$A$9)+C373/(1*J404)+(D373/J414)^2,2)</f>
        <v>0.02</v>
      </c>
      <c r="K442" s="10"/>
      <c r="L442" s="10"/>
    </row>
    <row r="443" spans="1:14" x14ac:dyDescent="0.2">
      <c r="A443" s="10"/>
      <c r="B443" s="10"/>
      <c r="C443" s="10"/>
      <c r="D443" s="10"/>
      <c r="E443" s="10"/>
      <c r="F443" s="2" t="s">
        <v>596</v>
      </c>
      <c r="G443" s="635">
        <f>ROUND(ABS(E395)/(0.6*$A$9)+C395/($C$433*G404)+(D395/G414)^2,2)</f>
        <v>0.66</v>
      </c>
      <c r="H443" s="501">
        <f>ROUND(ABS(E388)/(0.6*$A$9)+C388/($C$433*H404)+(D388/H414)^2,2)</f>
        <v>0.62</v>
      </c>
      <c r="I443" s="501">
        <f>ROUND(ABS(E381)/(0.6*$A$9)+C381/(1*I404)+(D381/I414)^2,2)</f>
        <v>0.59</v>
      </c>
      <c r="J443" s="636">
        <f>ROUND(ABS(E374)/(0.6*$A$9)+C374/(1*J404)+(D374/J414)^2,2)</f>
        <v>0.01</v>
      </c>
      <c r="K443" s="10"/>
      <c r="L443" s="10"/>
    </row>
    <row r="444" spans="1:14" ht="13.5" thickBot="1" x14ac:dyDescent="0.25">
      <c r="B444" s="10"/>
      <c r="C444" s="10"/>
      <c r="D444" s="10"/>
      <c r="E444" s="10"/>
      <c r="F444" s="2" t="s">
        <v>256</v>
      </c>
      <c r="G444" s="555" t="str">
        <f>IF(AND(G442&lt;=1,G443&lt;=1),"OK","NG")</f>
        <v>OK</v>
      </c>
      <c r="H444" s="556" t="str">
        <f>IF(AND(H442&lt;=1,H443&lt;=1),"OK","NG")</f>
        <v>OK</v>
      </c>
      <c r="I444" s="556" t="str">
        <f>IF(AND(I442&lt;=1,I443&lt;=1),"OK","NG")</f>
        <v>OK</v>
      </c>
      <c r="J444" s="557" t="str">
        <f>IF(AND(J442&lt;=1,J443&lt;=1),"OK","NG")</f>
        <v>OK</v>
      </c>
      <c r="K444" s="10"/>
      <c r="L444" s="10"/>
    </row>
    <row r="445" spans="1:14" x14ac:dyDescent="0.2">
      <c r="A445" s="14"/>
      <c r="B445" s="10"/>
      <c r="C445" s="10"/>
      <c r="D445" s="10"/>
      <c r="E445" s="10"/>
      <c r="F445" s="2"/>
      <c r="G445" s="83"/>
      <c r="H445" s="83"/>
      <c r="I445" s="83"/>
      <c r="J445" s="10"/>
      <c r="K445" s="10"/>
      <c r="L445" s="10"/>
    </row>
    <row r="446" spans="1:14" x14ac:dyDescent="0.2">
      <c r="A446" s="63" t="s">
        <v>634</v>
      </c>
      <c r="B446" s="10"/>
      <c r="C446" s="10"/>
      <c r="D446" s="10"/>
      <c r="E446" s="10"/>
      <c r="F446" s="10"/>
      <c r="G446" s="10"/>
      <c r="H446" s="10"/>
      <c r="I446" s="10"/>
      <c r="J446" s="2" t="s">
        <v>129</v>
      </c>
      <c r="L446" s="10"/>
    </row>
    <row r="447" spans="1:14" ht="13.5" thickBot="1" x14ac:dyDescent="0.25">
      <c r="A447" s="14"/>
      <c r="B447" s="10"/>
      <c r="C447" s="10"/>
      <c r="D447" s="10"/>
      <c r="E447" s="10"/>
      <c r="F447" s="10"/>
      <c r="G447" s="10"/>
      <c r="H447" s="37"/>
      <c r="I447" s="37"/>
      <c r="J447" s="4"/>
      <c r="L447" s="10"/>
    </row>
    <row r="448" spans="1:14" ht="27.75" thickBot="1" x14ac:dyDescent="0.25">
      <c r="A448" s="18"/>
      <c r="B448" s="429" t="s">
        <v>758</v>
      </c>
      <c r="C448" s="738" t="s">
        <v>759</v>
      </c>
      <c r="D448" s="459" t="s">
        <v>719</v>
      </c>
      <c r="E448" s="459" t="s">
        <v>721</v>
      </c>
      <c r="F448" s="459" t="s">
        <v>722</v>
      </c>
      <c r="G448" s="459" t="s">
        <v>41</v>
      </c>
      <c r="H448" s="428" t="s">
        <v>725</v>
      </c>
      <c r="J448" s="2" t="s">
        <v>42</v>
      </c>
    </row>
    <row r="449" spans="1:20" ht="38.25" x14ac:dyDescent="0.2">
      <c r="A449" s="710" t="s">
        <v>631</v>
      </c>
      <c r="B449" s="716" t="s">
        <v>760</v>
      </c>
      <c r="C449" s="739">
        <f>E222</f>
        <v>500</v>
      </c>
      <c r="D449" s="408">
        <f>H20</f>
        <v>23</v>
      </c>
      <c r="E449" s="707">
        <f>H22</f>
        <v>1.5149999999999999</v>
      </c>
      <c r="F449" s="708">
        <f>E22</f>
        <v>3.125</v>
      </c>
      <c r="G449" s="407">
        <f>VLOOKUP($B$18,'Pick List Data'!$A$74:$I$78,7,0)</f>
        <v>3.29</v>
      </c>
      <c r="H449" s="709">
        <f>(C449*(D449*12)^3)/(2*29000000*G449*B24*(F449-E449)^3)*(2*LN(F449/E449)-(F449-E449)/F449*(3-E449/F449))</f>
        <v>8.036914446830334</v>
      </c>
      <c r="J449" s="10"/>
    </row>
    <row r="450" spans="1:20" ht="39" thickBot="1" x14ac:dyDescent="0.25">
      <c r="A450" s="458" t="s">
        <v>632</v>
      </c>
      <c r="B450" s="386">
        <f>J222</f>
        <v>0</v>
      </c>
      <c r="C450" s="461" t="s">
        <v>760</v>
      </c>
      <c r="D450" s="412">
        <f>H20</f>
        <v>23</v>
      </c>
      <c r="E450" s="456">
        <f>H22</f>
        <v>1.5149999999999999</v>
      </c>
      <c r="F450" s="456">
        <f>E22</f>
        <v>3.125</v>
      </c>
      <c r="G450" s="411">
        <f>VLOOKUP($B$18,'Pick List Data'!$A$74:$I$78,7,0)</f>
        <v>3.29</v>
      </c>
      <c r="H450" s="388">
        <f>((B450*12)*(D450*12)^2)/(2*29000000*G450*B24*(E450*F450^2))</f>
        <v>0</v>
      </c>
      <c r="I450" s="10"/>
      <c r="J450" s="10"/>
      <c r="K450" s="10"/>
    </row>
    <row r="451" spans="1:20" x14ac:dyDescent="0.2">
      <c r="A451" s="10"/>
      <c r="B451" s="50"/>
      <c r="C451" s="10"/>
      <c r="D451" s="10"/>
      <c r="E451" s="10"/>
      <c r="G451" s="2" t="s">
        <v>761</v>
      </c>
      <c r="H451" s="706">
        <f>SUM(H449:H450)</f>
        <v>8.036914446830334</v>
      </c>
      <c r="I451" s="3" t="s">
        <v>43</v>
      </c>
      <c r="K451" s="10"/>
      <c r="L451" s="10"/>
    </row>
    <row r="452" spans="1:20" ht="13.5" thickBot="1" x14ac:dyDescent="0.25">
      <c r="A452" s="10"/>
      <c r="B452" s="10"/>
      <c r="C452" s="10"/>
      <c r="D452" s="10"/>
      <c r="E452" s="10"/>
      <c r="G452" s="2" t="s">
        <v>762</v>
      </c>
      <c r="H452" s="460">
        <f>0.025*H20*12</f>
        <v>6.9</v>
      </c>
      <c r="I452" s="1" t="s">
        <v>43</v>
      </c>
      <c r="K452" s="10"/>
      <c r="L452" s="10"/>
    </row>
    <row r="453" spans="1:20" ht="13.5" thickBot="1" x14ac:dyDescent="0.25">
      <c r="H453" s="369" t="str">
        <f>IF(H452&gt;H451,"OK","NG")</f>
        <v>NG</v>
      </c>
      <c r="I453" s="10"/>
      <c r="M453" s="10" t="s">
        <v>718</v>
      </c>
    </row>
    <row r="454" spans="1:20" x14ac:dyDescent="0.2">
      <c r="I454" s="86"/>
      <c r="J454" s="10"/>
      <c r="N454" s="10" t="s">
        <v>769</v>
      </c>
    </row>
    <row r="455" spans="1:20" x14ac:dyDescent="0.2">
      <c r="A455" s="63" t="s">
        <v>406</v>
      </c>
      <c r="I455" s="86"/>
      <c r="J455" s="2" t="s">
        <v>129</v>
      </c>
      <c r="N455" s="1">
        <f>12*C459*D459*12*(E459+F459)/(2*29000000*G459*B24*E459^2*F459^2)+(B459*(D459*12)^2)/(2*29000000*G459*B24*E459*F459^2)</f>
        <v>5.3964926772522133E-2</v>
      </c>
      <c r="O455" s="1" t="s">
        <v>130</v>
      </c>
    </row>
    <row r="456" spans="1:20" ht="13.5" thickBot="1" x14ac:dyDescent="0.25">
      <c r="D456" s="10"/>
      <c r="E456" s="10"/>
      <c r="F456" s="10"/>
      <c r="G456" s="10"/>
      <c r="H456" s="10"/>
      <c r="I456" s="37"/>
      <c r="J456" s="37"/>
      <c r="K456" s="7"/>
      <c r="N456" s="1">
        <f>12*(D458-D459)*TAN(N455)</f>
        <v>0.64820848393033947</v>
      </c>
      <c r="O456" s="10" t="s">
        <v>140</v>
      </c>
    </row>
    <row r="457" spans="1:20" ht="64.5" thickBot="1" x14ac:dyDescent="0.25">
      <c r="A457" s="18"/>
      <c r="B457" s="462" t="s">
        <v>763</v>
      </c>
      <c r="C457" s="459" t="s">
        <v>720</v>
      </c>
      <c r="D457" s="459" t="s">
        <v>719</v>
      </c>
      <c r="E457" s="459" t="s">
        <v>721</v>
      </c>
      <c r="F457" s="459" t="s">
        <v>722</v>
      </c>
      <c r="G457" s="459" t="s">
        <v>41</v>
      </c>
      <c r="H457" s="459" t="s">
        <v>723</v>
      </c>
      <c r="I457" s="463" t="s">
        <v>724</v>
      </c>
      <c r="O457" s="10" t="s">
        <v>141</v>
      </c>
    </row>
    <row r="458" spans="1:20" x14ac:dyDescent="0.2">
      <c r="A458" s="430" t="s">
        <v>331</v>
      </c>
      <c r="B458" s="209" t="str">
        <f>IF(A10="Y",J110,"N/A")</f>
        <v>N/A</v>
      </c>
      <c r="C458" s="464">
        <f>SQRT(J98^2+J111^2)</f>
        <v>0</v>
      </c>
      <c r="D458" s="348">
        <f>B20</f>
        <v>24</v>
      </c>
      <c r="E458" s="348">
        <f>J22</f>
        <v>0</v>
      </c>
      <c r="F458" s="348">
        <f>E22</f>
        <v>3.125</v>
      </c>
      <c r="G458" s="403">
        <f>VLOOKUP($B$18,'Pick List Data'!$A$74:$I$78,7,0)</f>
        <v>3.29</v>
      </c>
      <c r="H458" s="514">
        <f>IF(A10="N",0,C458*12*(D458*12)^2/(2*29000000*G458*$B$24*E458*F458^2)+(B458*(D458*12)^3)/(2*29000000*G458*$B$24*(F458-E458)^3)*(2*LN(F458/E458)-(F458-E458)/F458*(3-E458/F458)))</f>
        <v>0</v>
      </c>
      <c r="I458" s="465">
        <f>H458</f>
        <v>0</v>
      </c>
      <c r="M458" s="3" t="s">
        <v>135</v>
      </c>
      <c r="N458" s="7"/>
      <c r="Q458" s="3"/>
      <c r="R458" s="7"/>
      <c r="S458" s="7"/>
    </row>
    <row r="459" spans="1:20" ht="51" x14ac:dyDescent="0.2">
      <c r="A459" s="466" t="s">
        <v>633</v>
      </c>
      <c r="B459" s="512">
        <f>F151</f>
        <v>500</v>
      </c>
      <c r="C459" s="221">
        <f>F152</f>
        <v>0</v>
      </c>
      <c r="D459" s="371">
        <f>D449</f>
        <v>23</v>
      </c>
      <c r="E459" s="371">
        <f>E449</f>
        <v>1.5149999999999999</v>
      </c>
      <c r="F459" s="371">
        <f>F449</f>
        <v>3.125</v>
      </c>
      <c r="G459" s="370">
        <f>G449</f>
        <v>3.29</v>
      </c>
      <c r="H459" s="87">
        <f>IF(A10="N",0,C459*12*(D459*12)^2/(2*29000000*G459*$B$24*E459*F459^2)+(B459*(D459*12)^3)/(2*29000000*G459*$B$24*(F459-E459)^3)*(2*LN(F459/E459)-(F459-E459)/F459*(3-E459/F459)))</f>
        <v>0</v>
      </c>
      <c r="I459" s="380">
        <f>IF(A10="N",0,H459+N456)</f>
        <v>0</v>
      </c>
      <c r="M459" s="53">
        <f>(B460/12*(12*D460)^3/(6*29000000*G460*B24*(F460-E460)^5))</f>
        <v>0.267759353886658</v>
      </c>
      <c r="N459" s="52" t="s">
        <v>136</v>
      </c>
      <c r="Q459" s="7"/>
      <c r="R459" s="52"/>
      <c r="S459" s="7"/>
    </row>
    <row r="460" spans="1:20" ht="26.25" thickBot="1" x14ac:dyDescent="0.25">
      <c r="A460" s="458" t="s">
        <v>645</v>
      </c>
      <c r="B460" s="386">
        <f>F80</f>
        <v>257.62025020341474</v>
      </c>
      <c r="C460" s="461" t="s">
        <v>131</v>
      </c>
      <c r="D460" s="410">
        <f>B20</f>
        <v>24</v>
      </c>
      <c r="E460" s="410">
        <f>IF(A10="N",I22,J22)</f>
        <v>1.4449999999999998</v>
      </c>
      <c r="F460" s="410">
        <f>F459</f>
        <v>3.125</v>
      </c>
      <c r="G460" s="461">
        <f>G459</f>
        <v>3.29</v>
      </c>
      <c r="H460" s="456">
        <f>12*M459*(M460+N461+N465)</f>
        <v>0.78640356637073128</v>
      </c>
      <c r="I460" s="457">
        <f>H460</f>
        <v>0.78640356637073128</v>
      </c>
      <c r="M460" s="53">
        <f>(12*E460^2*LN(F460/E460))</f>
        <v>19.326549635938658</v>
      </c>
      <c r="N460" s="3" t="s">
        <v>134</v>
      </c>
      <c r="Q460" s="7"/>
      <c r="R460" s="3"/>
      <c r="S460" s="7"/>
    </row>
    <row r="461" spans="1:20" ht="15.75" x14ac:dyDescent="0.2">
      <c r="A461" s="10" t="s">
        <v>770</v>
      </c>
      <c r="B461" s="7"/>
      <c r="C461" s="7"/>
      <c r="D461" s="7"/>
      <c r="E461" s="7"/>
      <c r="F461" s="7"/>
      <c r="G461" s="7"/>
      <c r="H461" s="7"/>
      <c r="I461" s="7"/>
      <c r="J461" s="7"/>
      <c r="N461" s="53">
        <f>E460*(O462-O463-O464)</f>
        <v>-28.847426396223998</v>
      </c>
      <c r="O461" s="54" t="s">
        <v>132</v>
      </c>
      <c r="R461" s="7"/>
      <c r="S461" s="54"/>
      <c r="T461" s="7"/>
    </row>
    <row r="462" spans="1:20" ht="15.75" x14ac:dyDescent="0.2">
      <c r="H462" s="2" t="s">
        <v>407</v>
      </c>
      <c r="I462" s="43" t="str">
        <f>IF(A10="N","NA",SUM(I458:I460))</f>
        <v>NA</v>
      </c>
      <c r="J462" s="1" t="s">
        <v>43</v>
      </c>
      <c r="O462" s="53">
        <f>8*E460^2/F460</f>
        <v>5.345343999999999</v>
      </c>
      <c r="P462" s="54" t="s">
        <v>137</v>
      </c>
      <c r="R462" s="7"/>
      <c r="S462" s="7"/>
      <c r="T462" s="54"/>
    </row>
    <row r="463" spans="1:20" ht="16.5" thickBot="1" x14ac:dyDescent="0.25">
      <c r="H463" s="2" t="s">
        <v>408</v>
      </c>
      <c r="I463" s="366">
        <f>12*0.15*B20</f>
        <v>43.199999999999996</v>
      </c>
      <c r="J463" s="1" t="s">
        <v>43</v>
      </c>
      <c r="O463" s="53">
        <f>E460^3/F460^2</f>
        <v>0.30896088319999992</v>
      </c>
      <c r="P463" s="54" t="s">
        <v>138</v>
      </c>
      <c r="R463" s="7"/>
      <c r="S463" s="7"/>
      <c r="T463" s="54"/>
    </row>
    <row r="464" spans="1:20" ht="16.5" thickBot="1" x14ac:dyDescent="0.25">
      <c r="I464" s="372" t="str">
        <f>IF(A10="N","NA",IF(I463&gt;I462,"OK","NG"))</f>
        <v>NA</v>
      </c>
      <c r="O464" s="53">
        <f>8*F460</f>
        <v>25</v>
      </c>
      <c r="P464" s="3" t="s">
        <v>139</v>
      </c>
      <c r="R464" s="7"/>
      <c r="S464" s="7"/>
      <c r="T464" s="3"/>
    </row>
    <row r="465" spans="1:20" ht="15.75" x14ac:dyDescent="0.2">
      <c r="N465" s="53">
        <f>F460^2</f>
        <v>9.765625</v>
      </c>
      <c r="O465" s="54" t="s">
        <v>133</v>
      </c>
      <c r="R465" s="7"/>
      <c r="S465" s="54"/>
      <c r="T465" s="7"/>
    </row>
    <row r="466" spans="1:20" x14ac:dyDescent="0.2">
      <c r="A466" s="63" t="s">
        <v>313</v>
      </c>
    </row>
    <row r="467" spans="1:20" x14ac:dyDescent="0.2">
      <c r="A467" s="63"/>
    </row>
    <row r="468" spans="1:20" x14ac:dyDescent="0.2">
      <c r="A468" s="422" t="s">
        <v>646</v>
      </c>
    </row>
    <row r="469" spans="1:20" x14ac:dyDescent="0.2">
      <c r="C469" s="2" t="s">
        <v>314</v>
      </c>
      <c r="D469" s="47" t="str">
        <f>B18</f>
        <v>12-sided</v>
      </c>
      <c r="E469" s="10"/>
      <c r="F469" s="10"/>
      <c r="G469" s="10"/>
      <c r="H469" s="10"/>
      <c r="I469" s="10"/>
      <c r="J469" s="10"/>
      <c r="K469" s="10"/>
    </row>
    <row r="470" spans="1:20" x14ac:dyDescent="0.2">
      <c r="C470" s="2"/>
      <c r="D470" s="10"/>
      <c r="E470" s="10"/>
      <c r="F470" s="10"/>
      <c r="G470" s="10"/>
      <c r="H470" s="10"/>
      <c r="I470" s="10"/>
      <c r="J470" s="10"/>
      <c r="K470" s="10"/>
    </row>
    <row r="471" spans="1:20" x14ac:dyDescent="0.2">
      <c r="C471" s="2" t="s">
        <v>316</v>
      </c>
      <c r="D471" s="17">
        <v>7.0000000000000007E-2</v>
      </c>
      <c r="E471" s="10" t="s">
        <v>7</v>
      </c>
      <c r="F471" s="10"/>
      <c r="G471" s="10"/>
      <c r="H471" s="10"/>
      <c r="I471" s="10"/>
      <c r="J471" s="2" t="s">
        <v>318</v>
      </c>
    </row>
    <row r="472" spans="1:20" x14ac:dyDescent="0.2">
      <c r="C472" s="2" t="s">
        <v>317</v>
      </c>
      <c r="D472" s="17">
        <v>0.14000000000000001</v>
      </c>
      <c r="E472" s="10" t="s">
        <v>7</v>
      </c>
      <c r="F472" s="10"/>
      <c r="G472" s="10"/>
      <c r="H472" s="10"/>
      <c r="I472" s="10"/>
      <c r="J472" s="2" t="s">
        <v>318</v>
      </c>
    </row>
    <row r="473" spans="1:20" x14ac:dyDescent="0.2">
      <c r="C473" s="10"/>
      <c r="D473" s="10"/>
      <c r="E473" s="10"/>
      <c r="F473" s="10"/>
      <c r="G473" s="10"/>
      <c r="H473" s="10"/>
      <c r="I473" s="10"/>
      <c r="J473" s="10"/>
      <c r="K473" s="10"/>
    </row>
    <row r="474" spans="1:20" x14ac:dyDescent="0.2">
      <c r="C474" s="2" t="s">
        <v>315</v>
      </c>
      <c r="D474" s="46">
        <f>ROUND(B25,2)</f>
        <v>0.14000000000000001</v>
      </c>
      <c r="E474" s="10"/>
      <c r="F474" s="10"/>
      <c r="G474" s="10"/>
      <c r="H474" s="10"/>
      <c r="I474" s="10"/>
      <c r="J474" s="10"/>
      <c r="K474" s="10"/>
    </row>
    <row r="475" spans="1:20" x14ac:dyDescent="0.2">
      <c r="C475" s="10"/>
      <c r="D475" s="10"/>
      <c r="E475" s="10"/>
      <c r="F475" s="10"/>
      <c r="G475" s="10"/>
      <c r="H475" s="10"/>
      <c r="I475" s="10"/>
      <c r="J475" s="10"/>
      <c r="K475" s="10"/>
    </row>
    <row r="476" spans="1:20" x14ac:dyDescent="0.2">
      <c r="C476" s="10"/>
      <c r="D476" s="2" t="s">
        <v>281</v>
      </c>
      <c r="E476" s="14" t="str">
        <f>IF(D469="4-sided","WARNING: A minimum of 8 sides are required per Pub. 408, Sec 1104.02(a)2","OK")</f>
        <v>OK</v>
      </c>
      <c r="F476" s="10"/>
      <c r="G476" s="10"/>
      <c r="H476" s="10"/>
      <c r="I476" s="10"/>
      <c r="J476" s="10"/>
      <c r="K476" s="10"/>
    </row>
    <row r="477" spans="1:20" x14ac:dyDescent="0.2">
      <c r="C477" s="10"/>
      <c r="D477" s="2" t="s">
        <v>319</v>
      </c>
      <c r="E477" s="238" t="str">
        <f>IF(AND(D469&lt;&gt;"Round",D474=0),"WARNING: Multi-sided sections must be tapered per Pub. 408, Sec 1104.02(a)2","OK")</f>
        <v>OK</v>
      </c>
      <c r="F477" s="10"/>
      <c r="G477" s="10"/>
      <c r="H477" s="10"/>
      <c r="I477" s="10"/>
      <c r="J477" s="10"/>
      <c r="K477" s="10"/>
    </row>
    <row r="478" spans="1:20" ht="27.75" customHeight="1" x14ac:dyDescent="0.2">
      <c r="C478" s="10"/>
      <c r="D478" s="2" t="s">
        <v>320</v>
      </c>
      <c r="E478" s="896" t="str">
        <f>IF(AND(D474&gt;=D471,D474&lt;=D472),"OK",IF(AND(D469="Round",D474=0),"OK","Warning: Member does not meet taper requirements in Pub. 408, Section 1104.02(a)2"))</f>
        <v>OK</v>
      </c>
      <c r="F478" s="896"/>
      <c r="G478" s="896"/>
      <c r="H478" s="896"/>
      <c r="I478" s="896"/>
      <c r="J478" s="896"/>
      <c r="K478" s="237"/>
    </row>
    <row r="480" spans="1:20" x14ac:dyDescent="0.2">
      <c r="A480" s="585"/>
      <c r="B480" s="7"/>
      <c r="C480" s="7"/>
      <c r="D480" s="7"/>
      <c r="E480" s="7"/>
      <c r="F480" s="7"/>
      <c r="G480" s="7"/>
      <c r="H480" s="7"/>
      <c r="I480" s="7"/>
    </row>
    <row r="481" spans="1:15" x14ac:dyDescent="0.2">
      <c r="A481" s="7"/>
      <c r="B481" s="7"/>
      <c r="C481" s="7"/>
      <c r="D481" s="7"/>
      <c r="E481" s="7"/>
      <c r="F481" s="7"/>
      <c r="G481" s="7"/>
      <c r="H481" s="7"/>
      <c r="I481" s="7"/>
    </row>
    <row r="482" spans="1:15" x14ac:dyDescent="0.2">
      <c r="A482" s="7"/>
      <c r="B482" s="7"/>
      <c r="C482" s="18"/>
      <c r="D482" s="129"/>
      <c r="E482" s="3"/>
      <c r="F482" s="7"/>
      <c r="G482" s="7"/>
      <c r="H482" s="7"/>
      <c r="I482" s="7"/>
    </row>
    <row r="483" spans="1:15" x14ac:dyDescent="0.2">
      <c r="A483" s="7"/>
      <c r="B483" s="7"/>
      <c r="C483" s="18"/>
      <c r="D483" s="129"/>
      <c r="E483" s="3"/>
      <c r="F483" s="7"/>
      <c r="G483" s="7"/>
      <c r="H483" s="7"/>
      <c r="I483" s="7"/>
    </row>
    <row r="484" spans="1:15" x14ac:dyDescent="0.2">
      <c r="A484" s="7"/>
      <c r="B484" s="7"/>
      <c r="C484" s="18"/>
      <c r="D484" s="129"/>
      <c r="E484" s="3"/>
      <c r="F484" s="7"/>
      <c r="G484" s="7"/>
      <c r="H484" s="7"/>
      <c r="I484" s="7"/>
    </row>
    <row r="485" spans="1:15" x14ac:dyDescent="0.2">
      <c r="A485" s="7"/>
      <c r="B485" s="7"/>
      <c r="C485" s="18"/>
      <c r="D485" s="129"/>
      <c r="E485" s="3"/>
      <c r="F485" s="7"/>
      <c r="G485" s="7"/>
      <c r="H485" s="7"/>
      <c r="I485" s="7"/>
    </row>
    <row r="486" spans="1:15" x14ac:dyDescent="0.2">
      <c r="A486" s="7"/>
      <c r="B486" s="7"/>
      <c r="C486" s="18"/>
      <c r="D486" s="129"/>
      <c r="E486" s="3"/>
      <c r="F486" s="7"/>
      <c r="G486" s="7"/>
      <c r="H486" s="7"/>
      <c r="I486" s="7"/>
    </row>
    <row r="487" spans="1:15" x14ac:dyDescent="0.2">
      <c r="A487" s="7"/>
      <c r="B487" s="7"/>
      <c r="C487" s="18"/>
      <c r="D487" s="586"/>
      <c r="E487" s="3"/>
      <c r="F487" s="7"/>
      <c r="G487" s="7"/>
      <c r="H487" s="7"/>
      <c r="I487" s="7"/>
    </row>
    <row r="488" spans="1:15" x14ac:dyDescent="0.2">
      <c r="A488" s="7"/>
      <c r="B488" s="7"/>
      <c r="C488" s="520"/>
      <c r="D488" s="877"/>
      <c r="E488" s="877"/>
      <c r="F488" s="877"/>
      <c r="G488" s="877"/>
      <c r="H488" s="877"/>
      <c r="I488" s="877"/>
    </row>
    <row r="489" spans="1:15" x14ac:dyDescent="0.2">
      <c r="A489" s="7"/>
      <c r="B489" s="7"/>
      <c r="C489" s="7"/>
      <c r="D489" s="877"/>
      <c r="E489" s="877"/>
      <c r="F489" s="877"/>
      <c r="G489" s="877"/>
      <c r="H489" s="877"/>
      <c r="I489" s="877"/>
      <c r="N489" s="88"/>
      <c r="O489" s="54"/>
    </row>
  </sheetData>
  <sheetProtection password="F828" sheet="1"/>
  <mergeCells count="38">
    <mergeCell ref="V210:X211"/>
    <mergeCell ref="U220:V220"/>
    <mergeCell ref="A217:A219"/>
    <mergeCell ref="B238:B241"/>
    <mergeCell ref="U361:V361"/>
    <mergeCell ref="B287:B290"/>
    <mergeCell ref="B326:B329"/>
    <mergeCell ref="B330:B333"/>
    <mergeCell ref="B334:B337"/>
    <mergeCell ref="B291:B294"/>
    <mergeCell ref="B283:B286"/>
    <mergeCell ref="B246:B249"/>
    <mergeCell ref="E478:J478"/>
    <mergeCell ref="E427:I427"/>
    <mergeCell ref="E425:I425"/>
    <mergeCell ref="E415:F415"/>
    <mergeCell ref="B242:B245"/>
    <mergeCell ref="C155:G155"/>
    <mergeCell ref="I184:K184"/>
    <mergeCell ref="I182:J182"/>
    <mergeCell ref="D71:H71"/>
    <mergeCell ref="I220:J220"/>
    <mergeCell ref="B199:B202"/>
    <mergeCell ref="B203:B206"/>
    <mergeCell ref="B8:D8"/>
    <mergeCell ref="F103:K103"/>
    <mergeCell ref="D70:H70"/>
    <mergeCell ref="F127:J130"/>
    <mergeCell ref="H195:J195"/>
    <mergeCell ref="D72:J72"/>
    <mergeCell ref="C148:G148"/>
    <mergeCell ref="C162:G162"/>
    <mergeCell ref="D488:I489"/>
    <mergeCell ref="I265:J265"/>
    <mergeCell ref="I352:J352"/>
    <mergeCell ref="I309:J309"/>
    <mergeCell ref="F102:J102"/>
    <mergeCell ref="F101:J101"/>
  </mergeCells>
  <phoneticPr fontId="12" type="noConversion"/>
  <conditionalFormatting sqref="H19:H20 I65:I67 I78:I83 I86:I88 I109:I115 H22 H25:H29 I96:I98 I118:I120 I231:I234 B231:G234 C222:J224 C227:I230 C151:F152 I168 D199:I206 C210:H215 C217:H219">
    <cfRule type="expression" dxfId="6" priority="9">
      <formula>$E$11="N"</formula>
    </cfRule>
  </conditionalFormatting>
  <conditionalFormatting sqref="F161">
    <cfRule type="expression" dxfId="5" priority="6">
      <formula>$E$11="N"</formula>
    </cfRule>
  </conditionalFormatting>
  <conditionalFormatting sqref="C158:F159">
    <cfRule type="expression" dxfId="4" priority="5">
      <formula>$E$11="N"</formula>
    </cfRule>
  </conditionalFormatting>
  <conditionalFormatting sqref="C165:F166">
    <cfRule type="expression" dxfId="3" priority="4">
      <formula>$E$11="N"</formula>
    </cfRule>
  </conditionalFormatting>
  <conditionalFormatting sqref="B276:G279">
    <cfRule type="expression" dxfId="2" priority="3">
      <formula>$E$11="N"</formula>
    </cfRule>
  </conditionalFormatting>
  <conditionalFormatting sqref="B320:G323">
    <cfRule type="expression" dxfId="1" priority="2">
      <formula>$E$11="N"</formula>
    </cfRule>
  </conditionalFormatting>
  <conditionalFormatting sqref="B363:G366">
    <cfRule type="expression" dxfId="0" priority="1">
      <formula>$E$11="N"</formula>
    </cfRule>
  </conditionalFormatting>
  <pageMargins left="1" right="0.5" top="0.75" bottom="0.5" header="0.5" footer="0.5"/>
  <pageSetup scale="80" fitToHeight="0" orientation="portrait" r:id="rId1"/>
  <headerFooter alignWithMargins="0">
    <oddFooter>&amp;L     &amp;F&amp;C&amp;"Arial,Regular"Page &amp;P of &amp;N&amp;R&amp;A</oddFooter>
  </headerFooter>
  <rowBreaks count="11" manualBreakCount="11">
    <brk id="46" max="9" man="1"/>
    <brk id="88" max="9" man="1"/>
    <brk id="121" max="9" man="1"/>
    <brk id="168" max="9" man="1"/>
    <brk id="190" max="9" man="1"/>
    <brk id="234" max="9" man="1"/>
    <brk id="279" max="9" man="1"/>
    <brk id="323" max="9" man="1"/>
    <brk id="366" max="9" man="1"/>
    <brk id="396" max="9" man="1"/>
    <brk id="445" max="9" man="1"/>
  </rowBreaks>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97"/>
  <sheetViews>
    <sheetView view="pageBreakPreview" zoomScaleNormal="100" zoomScaleSheetLayoutView="100" workbookViewId="0">
      <selection activeCell="I62" sqref="I62"/>
    </sheetView>
  </sheetViews>
  <sheetFormatPr defaultRowHeight="12.75" x14ac:dyDescent="0.2"/>
  <cols>
    <col min="1" max="2" width="10.1640625" style="1" customWidth="1"/>
    <col min="3" max="3" width="13" style="1" customWidth="1"/>
    <col min="4" max="4" width="12.1640625" style="1" customWidth="1"/>
    <col min="5" max="6" width="10" style="1" bestFit="1" customWidth="1"/>
    <col min="7" max="7" width="9.83203125" style="1" customWidth="1"/>
    <col min="8" max="8" width="9.5" style="1" bestFit="1" customWidth="1"/>
    <col min="9" max="9" width="10.1640625" style="1" bestFit="1" customWidth="1"/>
    <col min="10" max="10" width="8.6640625" style="1" customWidth="1"/>
    <col min="11" max="11" width="11.5" style="1" bestFit="1" customWidth="1"/>
    <col min="12" max="12" width="9.5" style="1" bestFit="1" customWidth="1"/>
    <col min="13" max="16384" width="9.33203125" style="1"/>
  </cols>
  <sheetData>
    <row r="1" spans="1:23" s="7" customFormat="1" ht="18" x14ac:dyDescent="0.2">
      <c r="A1" s="516" t="s">
        <v>414</v>
      </c>
      <c r="B1" s="478"/>
      <c r="C1" s="239"/>
      <c r="D1" s="478"/>
    </row>
    <row r="2" spans="1:23" s="7" customFormat="1" ht="18.75" x14ac:dyDescent="0.2">
      <c r="A2" s="468"/>
      <c r="B2" s="478"/>
      <c r="C2" s="239"/>
      <c r="D2" s="478"/>
    </row>
    <row r="3" spans="1:23" s="7" customFormat="1" ht="15" customHeight="1" x14ac:dyDescent="0.2">
      <c r="A3" s="325" t="s">
        <v>421</v>
      </c>
      <c r="B3" s="478"/>
      <c r="C3" s="239"/>
      <c r="D3" s="478"/>
    </row>
    <row r="4" spans="1:23" s="7" customFormat="1" ht="15" customHeight="1" x14ac:dyDescent="0.2">
      <c r="A4" s="325"/>
      <c r="B4" s="478"/>
      <c r="C4" s="239"/>
      <c r="D4" s="478"/>
    </row>
    <row r="5" spans="1:23" x14ac:dyDescent="0.2">
      <c r="A5" s="63" t="s">
        <v>642</v>
      </c>
      <c r="N5" s="423"/>
      <c r="O5" s="3"/>
      <c r="P5" s="7"/>
      <c r="Q5" s="7"/>
    </row>
    <row r="6" spans="1:23" x14ac:dyDescent="0.2">
      <c r="A6" s="10"/>
      <c r="E6" s="2" t="s">
        <v>643</v>
      </c>
      <c r="F6" s="371">
        <f>Post!B21</f>
        <v>6.5</v>
      </c>
      <c r="G6" s="1" t="s">
        <v>1</v>
      </c>
      <c r="N6" s="242"/>
      <c r="O6" s="3"/>
      <c r="P6" s="7"/>
      <c r="Q6" s="7"/>
    </row>
    <row r="7" spans="1:23" x14ac:dyDescent="0.2">
      <c r="N7" s="242"/>
      <c r="O7" s="7"/>
      <c r="P7" s="7"/>
      <c r="Q7" s="7"/>
    </row>
    <row r="8" spans="1:23" s="10" customFormat="1" x14ac:dyDescent="0.2">
      <c r="A8" s="63" t="s">
        <v>102</v>
      </c>
      <c r="G8" s="85"/>
      <c r="I8" s="65"/>
      <c r="K8" s="66"/>
      <c r="N8" s="242"/>
      <c r="O8" s="7"/>
      <c r="P8" s="3"/>
      <c r="Q8" s="3"/>
      <c r="U8" s="66"/>
      <c r="V8" s="66"/>
      <c r="W8" s="66"/>
    </row>
    <row r="9" spans="1:23" s="10" customFormat="1" ht="15.75" customHeight="1" x14ac:dyDescent="0.2">
      <c r="E9" s="2" t="s">
        <v>738</v>
      </c>
      <c r="F9" s="479">
        <f>Input!D80</f>
        <v>50</v>
      </c>
      <c r="G9" s="31" t="s">
        <v>45</v>
      </c>
      <c r="H9" s="31" t="s">
        <v>198</v>
      </c>
      <c r="I9" s="12" t="str">
        <f>Input!D79</f>
        <v>A709, Gr. 50</v>
      </c>
      <c r="K9" s="66"/>
      <c r="N9" s="242"/>
      <c r="O9" s="3"/>
      <c r="P9" s="3"/>
      <c r="Q9" s="3"/>
      <c r="U9" s="66"/>
      <c r="V9" s="66"/>
      <c r="W9" s="66"/>
    </row>
    <row r="10" spans="1:23" s="10" customFormat="1" ht="15.75" customHeight="1" x14ac:dyDescent="0.2">
      <c r="E10" s="2" t="s">
        <v>739</v>
      </c>
      <c r="F10" s="479">
        <f>Input!D81</f>
        <v>65</v>
      </c>
      <c r="G10" s="31" t="s">
        <v>45</v>
      </c>
      <c r="H10" s="31" t="s">
        <v>198</v>
      </c>
      <c r="I10" s="12" t="str">
        <f>I9</f>
        <v>A709, Gr. 50</v>
      </c>
      <c r="K10" s="66"/>
      <c r="N10" s="3"/>
      <c r="O10" s="3"/>
      <c r="P10" s="3"/>
      <c r="Q10" s="3"/>
      <c r="U10" s="66"/>
      <c r="V10" s="66"/>
      <c r="W10" s="66"/>
    </row>
    <row r="11" spans="1:23" s="10" customFormat="1" ht="15.75" customHeight="1" x14ac:dyDescent="0.2">
      <c r="E11" s="2" t="s">
        <v>412</v>
      </c>
      <c r="F11" s="479">
        <f>Input!D85</f>
        <v>55</v>
      </c>
      <c r="G11" s="31" t="s">
        <v>45</v>
      </c>
      <c r="H11" s="31" t="s">
        <v>198</v>
      </c>
      <c r="I11" s="12" t="str">
        <f>Input!D84</f>
        <v>F1554, Gr. 55</v>
      </c>
      <c r="K11" s="66"/>
      <c r="U11" s="66"/>
      <c r="V11" s="66"/>
      <c r="W11" s="66"/>
    </row>
    <row r="12" spans="1:23" s="10" customFormat="1" x14ac:dyDescent="0.2">
      <c r="A12" s="63"/>
      <c r="G12" s="64"/>
      <c r="I12" s="65"/>
      <c r="K12" s="66"/>
      <c r="U12" s="66"/>
      <c r="V12" s="66"/>
      <c r="W12" s="66"/>
    </row>
    <row r="13" spans="1:23" s="10" customFormat="1" x14ac:dyDescent="0.2">
      <c r="A13" s="63" t="s">
        <v>57</v>
      </c>
      <c r="G13" s="64"/>
      <c r="I13" s="65"/>
      <c r="K13" s="66"/>
      <c r="U13" s="66"/>
      <c r="V13" s="66"/>
      <c r="W13" s="66"/>
    </row>
    <row r="14" spans="1:23" s="10" customFormat="1" x14ac:dyDescent="0.2">
      <c r="E14" s="2" t="s">
        <v>396</v>
      </c>
      <c r="F14" s="480">
        <f>Input!D94</f>
        <v>6</v>
      </c>
      <c r="H14" s="12" t="s">
        <v>103</v>
      </c>
      <c r="K14" s="66"/>
      <c r="U14" s="66"/>
      <c r="V14" s="66"/>
      <c r="W14" s="66"/>
    </row>
    <row r="15" spans="1:23" s="10" customFormat="1" x14ac:dyDescent="0.2">
      <c r="E15" s="2" t="s">
        <v>397</v>
      </c>
      <c r="F15" s="204">
        <f>Input!D95</f>
        <v>1.75</v>
      </c>
      <c r="G15" s="10" t="s">
        <v>1</v>
      </c>
      <c r="H15" s="12" t="s">
        <v>103</v>
      </c>
      <c r="K15" s="66"/>
      <c r="U15" s="66"/>
      <c r="V15" s="66"/>
      <c r="W15" s="66"/>
    </row>
    <row r="16" spans="1:23" s="10" customFormat="1" x14ac:dyDescent="0.2">
      <c r="E16" s="2" t="s">
        <v>398</v>
      </c>
      <c r="F16" s="480">
        <f>Input!D97</f>
        <v>18</v>
      </c>
      <c r="G16" s="10" t="s">
        <v>1</v>
      </c>
      <c r="H16" s="12" t="s">
        <v>103</v>
      </c>
      <c r="K16" s="66"/>
      <c r="U16" s="66"/>
      <c r="V16" s="66"/>
      <c r="W16" s="66"/>
    </row>
    <row r="17" spans="1:23" s="10" customFormat="1" x14ac:dyDescent="0.2">
      <c r="G17" s="64"/>
      <c r="I17" s="12"/>
      <c r="K17" s="66"/>
      <c r="U17" s="66"/>
      <c r="V17" s="66"/>
      <c r="W17" s="66"/>
    </row>
    <row r="18" spans="1:23" s="10" customFormat="1" x14ac:dyDescent="0.2">
      <c r="A18" s="63" t="s">
        <v>58</v>
      </c>
      <c r="G18" s="64"/>
      <c r="I18" s="12"/>
      <c r="K18" s="66"/>
      <c r="U18" s="66"/>
      <c r="V18" s="66"/>
      <c r="W18" s="66"/>
    </row>
    <row r="19" spans="1:23" s="10" customFormat="1" x14ac:dyDescent="0.2">
      <c r="E19" s="2" t="s">
        <v>245</v>
      </c>
      <c r="F19" s="49">
        <f>Input!D90</f>
        <v>23.25</v>
      </c>
      <c r="G19" s="10" t="s">
        <v>1</v>
      </c>
      <c r="I19" s="12"/>
      <c r="K19" s="66"/>
      <c r="U19" s="66"/>
      <c r="V19" s="66"/>
      <c r="W19" s="66"/>
    </row>
    <row r="20" spans="1:23" s="10" customFormat="1" x14ac:dyDescent="0.2">
      <c r="E20" s="2" t="s">
        <v>230</v>
      </c>
      <c r="F20" s="203">
        <f>Input!D91</f>
        <v>2</v>
      </c>
      <c r="G20" s="10" t="s">
        <v>1</v>
      </c>
      <c r="I20" s="3"/>
      <c r="J20" s="7"/>
      <c r="K20" s="7"/>
      <c r="L20" s="7"/>
      <c r="U20" s="66"/>
      <c r="V20" s="66"/>
      <c r="W20" s="66"/>
    </row>
    <row r="21" spans="1:23" s="10" customFormat="1" ht="13.5" thickBot="1" x14ac:dyDescent="0.25">
      <c r="E21" s="2" t="s">
        <v>420</v>
      </c>
      <c r="F21" s="481">
        <f>IF(F6&lt;6,'Pick List Data'!C111,IF(AND(F6&gt;=6,F20&lt;=13),'Pick List Data'!C112,IF(AND(F6&gt;13,F6&lt;19),'Pick List Data'!C113,'Pick List Data'!C114)))</f>
        <v>2</v>
      </c>
      <c r="G21" s="10" t="s">
        <v>1</v>
      </c>
      <c r="I21" s="3"/>
      <c r="J21" s="7"/>
      <c r="K21" s="7"/>
      <c r="L21" s="7"/>
      <c r="U21" s="66"/>
      <c r="V21" s="66"/>
      <c r="W21" s="66"/>
    </row>
    <row r="22" spans="1:23" s="10" customFormat="1" ht="13.5" thickBot="1" x14ac:dyDescent="0.25">
      <c r="E22" s="2" t="s">
        <v>296</v>
      </c>
      <c r="F22" s="482" t="str">
        <f>IF(F20&gt;=F21,"OK","NG")</f>
        <v>OK</v>
      </c>
      <c r="I22" s="3"/>
      <c r="J22" s="7"/>
      <c r="K22" s="7"/>
      <c r="L22" s="7"/>
      <c r="U22" s="66"/>
      <c r="V22" s="66"/>
      <c r="W22" s="66"/>
    </row>
    <row r="23" spans="1:23" s="10" customFormat="1" x14ac:dyDescent="0.2">
      <c r="E23" s="2"/>
      <c r="F23" s="129"/>
      <c r="I23" s="3"/>
      <c r="J23" s="7"/>
      <c r="K23" s="7"/>
      <c r="L23" s="7"/>
      <c r="U23" s="66"/>
      <c r="V23" s="66"/>
      <c r="W23" s="66"/>
    </row>
    <row r="24" spans="1:23" s="10" customFormat="1" ht="15.75" x14ac:dyDescent="0.2">
      <c r="A24" s="325" t="s">
        <v>422</v>
      </c>
      <c r="E24" s="2"/>
      <c r="F24" s="129"/>
      <c r="I24" s="3"/>
      <c r="J24" s="7"/>
      <c r="K24" s="7"/>
      <c r="L24" s="7"/>
      <c r="U24" s="66"/>
      <c r="V24" s="66"/>
      <c r="W24" s="66"/>
    </row>
    <row r="25" spans="1:23" s="10" customFormat="1" x14ac:dyDescent="0.2">
      <c r="G25" s="90"/>
      <c r="I25" s="7"/>
      <c r="J25" s="33"/>
      <c r="K25" s="7"/>
      <c r="L25" s="7"/>
      <c r="N25" s="1"/>
      <c r="O25" s="1"/>
      <c r="U25" s="66"/>
      <c r="V25" s="66"/>
      <c r="W25" s="66"/>
    </row>
    <row r="26" spans="1:23" ht="13.5" thickBot="1" x14ac:dyDescent="0.25">
      <c r="D26" s="54" t="s">
        <v>423</v>
      </c>
      <c r="L26" s="242"/>
    </row>
    <row r="27" spans="1:23" x14ac:dyDescent="0.2">
      <c r="E27" s="484" t="s">
        <v>341</v>
      </c>
      <c r="F27" s="757"/>
      <c r="G27" s="10"/>
      <c r="H27" s="10"/>
      <c r="I27" s="10"/>
      <c r="L27" s="242"/>
    </row>
    <row r="28" spans="1:23" ht="26.25" thickBot="1" x14ac:dyDescent="0.25">
      <c r="E28" s="487" t="s">
        <v>424</v>
      </c>
      <c r="F28" s="488" t="s">
        <v>425</v>
      </c>
      <c r="L28" s="242"/>
    </row>
    <row r="29" spans="1:23" x14ac:dyDescent="0.2">
      <c r="D29" s="484" t="s">
        <v>36</v>
      </c>
      <c r="E29" s="209">
        <f>Post!I354</f>
        <v>500</v>
      </c>
      <c r="F29" s="361">
        <f>Post!J354</f>
        <v>11500</v>
      </c>
      <c r="I29" s="2" t="s">
        <v>692</v>
      </c>
      <c r="J29" s="43">
        <f>Post!D354</f>
        <v>424.97289583333333</v>
      </c>
      <c r="K29" s="10" t="s">
        <v>693</v>
      </c>
    </row>
    <row r="30" spans="1:23" x14ac:dyDescent="0.2">
      <c r="D30" s="485" t="s">
        <v>37</v>
      </c>
      <c r="E30" s="207">
        <f>Post!I355</f>
        <v>943.2151876525611</v>
      </c>
      <c r="F30" s="206">
        <f>Post!J355</f>
        <v>19568.582251830732</v>
      </c>
    </row>
    <row r="31" spans="1:23" ht="13.5" thickBot="1" x14ac:dyDescent="0.25">
      <c r="D31" s="486" t="s">
        <v>38</v>
      </c>
      <c r="E31" s="208">
        <f>Post!I356</f>
        <v>846.60759382628055</v>
      </c>
      <c r="F31" s="483">
        <f>Post!J356</f>
        <v>18409.291125915366</v>
      </c>
    </row>
    <row r="33" spans="1:15" ht="15.75" x14ac:dyDescent="0.2">
      <c r="A33" s="325" t="s">
        <v>426</v>
      </c>
      <c r="B33" s="60"/>
      <c r="C33" s="60"/>
      <c r="D33" s="60"/>
      <c r="E33" s="60"/>
      <c r="F33" s="60"/>
      <c r="G33" s="60"/>
      <c r="H33" s="65"/>
      <c r="I33" s="10"/>
      <c r="J33" s="65"/>
      <c r="K33" s="10"/>
      <c r="L33" s="10"/>
    </row>
    <row r="34" spans="1:15" x14ac:dyDescent="0.2">
      <c r="A34" s="10"/>
      <c r="B34" s="60"/>
      <c r="C34" s="60"/>
      <c r="D34" s="60"/>
      <c r="E34" s="60"/>
      <c r="F34" s="60"/>
      <c r="G34" s="60"/>
      <c r="H34" s="65"/>
      <c r="I34" s="10"/>
      <c r="J34" s="65"/>
      <c r="K34" s="10"/>
      <c r="L34" s="10"/>
    </row>
    <row r="35" spans="1:15" ht="18" customHeight="1" x14ac:dyDescent="0.2">
      <c r="A35" s="63" t="s">
        <v>430</v>
      </c>
      <c r="B35" s="60"/>
      <c r="C35" s="60"/>
      <c r="D35" s="60"/>
      <c r="E35" s="60"/>
      <c r="F35" s="60"/>
      <c r="G35" s="60"/>
      <c r="H35" s="902"/>
      <c r="I35" s="902"/>
      <c r="J35" s="902"/>
      <c r="K35" s="902"/>
      <c r="L35" s="902"/>
    </row>
    <row r="36" spans="1:15" x14ac:dyDescent="0.2">
      <c r="A36" s="10"/>
      <c r="B36" s="60"/>
      <c r="C36" s="60"/>
      <c r="D36" s="60"/>
      <c r="E36" s="60"/>
      <c r="F36" s="60"/>
      <c r="G36" s="60"/>
      <c r="H36" s="494"/>
      <c r="I36" s="61"/>
      <c r="J36" s="495"/>
      <c r="K36" s="494"/>
      <c r="L36" s="3"/>
    </row>
    <row r="37" spans="1:15" ht="15.75" customHeight="1" x14ac:dyDescent="0.3">
      <c r="A37" s="10"/>
      <c r="E37" s="6" t="s">
        <v>104</v>
      </c>
      <c r="F37" s="235">
        <f>12*MAX(F29:F31)</f>
        <v>234822.98702196879</v>
      </c>
      <c r="G37" s="62" t="s">
        <v>105</v>
      </c>
      <c r="H37" s="62" t="s">
        <v>106</v>
      </c>
      <c r="I37" s="61"/>
      <c r="J37" s="495"/>
      <c r="K37" s="494"/>
      <c r="L37" s="3"/>
    </row>
    <row r="38" spans="1:15" ht="15.75" customHeight="1" x14ac:dyDescent="0.3">
      <c r="A38" s="10"/>
      <c r="E38" s="6" t="s">
        <v>107</v>
      </c>
      <c r="F38" s="235">
        <f>F16/2</f>
        <v>9</v>
      </c>
      <c r="G38" s="62" t="s">
        <v>1</v>
      </c>
      <c r="H38" s="62" t="s">
        <v>740</v>
      </c>
      <c r="I38" s="61"/>
      <c r="J38" s="61"/>
      <c r="K38" s="494"/>
      <c r="L38" s="3"/>
    </row>
    <row r="39" spans="1:15" ht="15.75" customHeight="1" x14ac:dyDescent="0.3">
      <c r="A39" s="10"/>
      <c r="E39" s="6" t="s">
        <v>108</v>
      </c>
      <c r="F39" s="235">
        <f>F14/2*F38^2</f>
        <v>243</v>
      </c>
      <c r="G39" s="92" t="s">
        <v>798</v>
      </c>
      <c r="H39" s="62" t="s">
        <v>109</v>
      </c>
      <c r="I39" s="94"/>
      <c r="J39" s="95"/>
      <c r="K39" s="61"/>
      <c r="L39" s="3"/>
    </row>
    <row r="40" spans="1:15" ht="15.75" customHeight="1" x14ac:dyDescent="0.3">
      <c r="A40" s="10"/>
      <c r="E40" s="6" t="s">
        <v>110</v>
      </c>
      <c r="F40" s="235">
        <f>F37*F38/F39</f>
        <v>8697.1476674803253</v>
      </c>
      <c r="G40" s="62" t="s">
        <v>111</v>
      </c>
      <c r="H40" s="62" t="s">
        <v>112</v>
      </c>
      <c r="I40" s="94"/>
      <c r="J40" s="95"/>
      <c r="K40" s="61"/>
      <c r="L40" s="3"/>
      <c r="N40" s="26"/>
      <c r="O40" s="26"/>
    </row>
    <row r="41" spans="1:15" ht="15.75" customHeight="1" x14ac:dyDescent="0.3">
      <c r="A41" s="10"/>
      <c r="E41" s="496" t="s">
        <v>113</v>
      </c>
      <c r="F41" s="354">
        <f>F40/VLOOKUP(F15,'Pick List Data'!A134:C147,2)</f>
        <v>4578.761036109343</v>
      </c>
      <c r="G41" s="497" t="s">
        <v>40</v>
      </c>
      <c r="H41" s="62" t="s">
        <v>694</v>
      </c>
      <c r="I41" s="94"/>
      <c r="J41" s="95"/>
      <c r="K41" s="61"/>
      <c r="L41" s="3"/>
      <c r="N41" s="26"/>
      <c r="O41" s="26"/>
    </row>
    <row r="42" spans="1:15" ht="15.75" customHeight="1" x14ac:dyDescent="0.3">
      <c r="A42" s="10"/>
      <c r="E42" s="6" t="s">
        <v>696</v>
      </c>
      <c r="F42" s="235">
        <f>(-J29/F14)/VLOOKUP(F15,'Pick List Data'!A134:C147,2)</f>
        <v>-37.2890325893853</v>
      </c>
      <c r="G42" s="62" t="s">
        <v>40</v>
      </c>
      <c r="H42" s="62" t="s">
        <v>695</v>
      </c>
      <c r="I42" s="94"/>
      <c r="J42" s="95"/>
      <c r="K42" s="61"/>
      <c r="L42" s="3"/>
      <c r="N42" s="26"/>
      <c r="O42" s="26"/>
    </row>
    <row r="43" spans="1:15" s="26" customFormat="1" ht="15.75" customHeight="1" x14ac:dyDescent="0.3">
      <c r="A43" s="22"/>
      <c r="E43" s="24" t="s">
        <v>697</v>
      </c>
      <c r="F43" s="733">
        <f>F41+F42</f>
        <v>4541.472003519958</v>
      </c>
      <c r="G43" s="26" t="s">
        <v>40</v>
      </c>
      <c r="H43" s="497" t="s">
        <v>698</v>
      </c>
      <c r="I43" s="498"/>
      <c r="J43" s="499"/>
      <c r="K43" s="500"/>
      <c r="L43" s="264"/>
      <c r="N43" s="1"/>
      <c r="O43" s="1"/>
    </row>
    <row r="44" spans="1:15" ht="16.5" customHeight="1" thickBot="1" x14ac:dyDescent="0.35">
      <c r="A44" s="10"/>
      <c r="E44" s="6" t="s">
        <v>114</v>
      </c>
      <c r="F44" s="32">
        <f>0.5*F11*1000</f>
        <v>27500</v>
      </c>
      <c r="G44" s="10" t="s">
        <v>40</v>
      </c>
      <c r="H44" s="10" t="s">
        <v>144</v>
      </c>
      <c r="I44" s="94"/>
      <c r="J44" s="95"/>
      <c r="K44" s="61"/>
      <c r="L44" s="3"/>
      <c r="N44" s="10"/>
    </row>
    <row r="45" spans="1:15" ht="13.5" customHeight="1" thickBot="1" x14ac:dyDescent="0.25">
      <c r="A45" s="10"/>
      <c r="E45" s="4" t="s">
        <v>296</v>
      </c>
      <c r="F45" s="93" t="str">
        <f>IF(F41&lt;F44,"OK","NG")</f>
        <v>OK</v>
      </c>
      <c r="G45" s="10"/>
      <c r="H45" s="62" t="s">
        <v>115</v>
      </c>
      <c r="I45" s="94"/>
      <c r="J45" s="95"/>
      <c r="K45" s="61"/>
      <c r="L45" s="3"/>
      <c r="N45" s="10"/>
    </row>
    <row r="46" spans="1:15" x14ac:dyDescent="0.2">
      <c r="A46" s="10"/>
      <c r="C46" s="10"/>
      <c r="D46" s="10"/>
      <c r="E46" s="60"/>
      <c r="F46" s="10"/>
      <c r="G46" s="10"/>
      <c r="H46" s="494"/>
      <c r="I46" s="94"/>
      <c r="J46" s="95"/>
      <c r="K46" s="61"/>
      <c r="L46" s="3"/>
    </row>
    <row r="47" spans="1:15" x14ac:dyDescent="0.2">
      <c r="A47" s="63" t="s">
        <v>431</v>
      </c>
      <c r="B47" s="10"/>
      <c r="C47" s="10"/>
      <c r="D47" s="10"/>
      <c r="E47" s="10"/>
      <c r="F47" s="10"/>
      <c r="G47" s="10"/>
      <c r="H47" s="7"/>
      <c r="I47" s="94"/>
      <c r="J47" s="95"/>
      <c r="K47" s="61"/>
      <c r="L47" s="3"/>
      <c r="N47" s="10"/>
    </row>
    <row r="48" spans="1:15" x14ac:dyDescent="0.2">
      <c r="A48" s="10"/>
      <c r="E48" s="10"/>
      <c r="F48" s="10"/>
      <c r="G48" s="10"/>
      <c r="H48" s="7"/>
      <c r="I48" s="94"/>
      <c r="J48" s="95"/>
      <c r="K48" s="61"/>
      <c r="L48" s="3"/>
      <c r="N48" s="10"/>
    </row>
    <row r="49" spans="1:14" ht="15.75" customHeight="1" x14ac:dyDescent="0.3">
      <c r="A49" s="10"/>
      <c r="E49" s="6" t="s">
        <v>116</v>
      </c>
      <c r="F49" s="235">
        <f>(MAX(E29:E31)/(F14*VLOOKUP(F15,'Pick List Data'!A134:C147,2)))</f>
        <v>82.761941328543415</v>
      </c>
      <c r="G49" s="10" t="s">
        <v>40</v>
      </c>
      <c r="H49" s="10"/>
      <c r="I49" s="94"/>
      <c r="J49" s="95"/>
      <c r="K49" s="61"/>
      <c r="L49" s="3"/>
      <c r="N49" s="10"/>
    </row>
    <row r="50" spans="1:14" ht="16.5" customHeight="1" thickBot="1" x14ac:dyDescent="0.35">
      <c r="A50" s="10"/>
      <c r="E50" s="6" t="s">
        <v>117</v>
      </c>
      <c r="F50" s="502">
        <f>0.3*F11*1000</f>
        <v>16500</v>
      </c>
      <c r="G50" s="10" t="s">
        <v>40</v>
      </c>
      <c r="H50" s="10" t="s">
        <v>145</v>
      </c>
      <c r="I50" s="94"/>
      <c r="J50" s="95"/>
      <c r="K50" s="61"/>
      <c r="L50" s="3"/>
      <c r="N50" s="10"/>
    </row>
    <row r="51" spans="1:14" ht="13.5" customHeight="1" thickBot="1" x14ac:dyDescent="0.25">
      <c r="A51" s="14"/>
      <c r="E51" s="4" t="s">
        <v>296</v>
      </c>
      <c r="F51" s="93" t="str">
        <f>IF(F49&lt;F50,"OK","NG")</f>
        <v>OK</v>
      </c>
      <c r="G51" s="10"/>
      <c r="H51" s="62" t="s">
        <v>115</v>
      </c>
      <c r="I51" s="94"/>
      <c r="J51" s="95"/>
      <c r="K51" s="61"/>
      <c r="L51" s="3"/>
      <c r="N51" s="10"/>
    </row>
    <row r="52" spans="1:14" x14ac:dyDescent="0.2">
      <c r="A52" s="10"/>
      <c r="B52" s="10"/>
      <c r="C52" s="10"/>
      <c r="D52" s="10"/>
      <c r="E52" s="60"/>
      <c r="F52" s="10"/>
      <c r="G52" s="10"/>
      <c r="H52" s="7"/>
      <c r="I52" s="94"/>
      <c r="J52" s="95"/>
      <c r="K52" s="61"/>
      <c r="L52" s="3"/>
      <c r="N52" s="10"/>
    </row>
    <row r="53" spans="1:14" x14ac:dyDescent="0.2">
      <c r="A53" s="10"/>
      <c r="E53" s="60"/>
      <c r="F53" s="10"/>
      <c r="G53" s="10"/>
      <c r="H53" s="7"/>
      <c r="I53" s="94"/>
      <c r="J53" s="95"/>
      <c r="K53" s="61"/>
      <c r="L53" s="3"/>
      <c r="N53" s="10"/>
    </row>
    <row r="54" spans="1:14" ht="13.5" customHeight="1" x14ac:dyDescent="0.2">
      <c r="A54" s="10"/>
      <c r="B54" s="60"/>
      <c r="C54" s="60"/>
      <c r="D54" s="60"/>
      <c r="E54" s="60"/>
      <c r="F54" s="10"/>
      <c r="G54" s="10"/>
      <c r="H54" s="7"/>
      <c r="I54" s="94"/>
      <c r="J54" s="95"/>
      <c r="K54" s="61"/>
      <c r="L54" s="3"/>
      <c r="N54" s="10"/>
    </row>
    <row r="55" spans="1:14" ht="13.5" customHeight="1" x14ac:dyDescent="0.2">
      <c r="A55" s="10"/>
      <c r="B55" s="60"/>
      <c r="C55" s="60"/>
      <c r="D55" s="60"/>
      <c r="E55" s="60"/>
      <c r="F55" s="10"/>
      <c r="G55" s="10"/>
      <c r="I55" s="94"/>
      <c r="J55" s="95"/>
      <c r="K55" s="61"/>
      <c r="L55" s="10"/>
    </row>
    <row r="56" spans="1:14" x14ac:dyDescent="0.2">
      <c r="A56" s="63" t="s">
        <v>432</v>
      </c>
      <c r="B56" s="10"/>
      <c r="C56" s="10"/>
      <c r="D56" s="10"/>
      <c r="F56" s="10"/>
      <c r="G56" s="10"/>
      <c r="N56" s="10"/>
    </row>
    <row r="57" spans="1:14" x14ac:dyDescent="0.2">
      <c r="A57" s="10"/>
      <c r="B57" s="60"/>
      <c r="C57" s="60"/>
      <c r="D57" s="60"/>
      <c r="E57" s="60"/>
      <c r="F57" s="10"/>
      <c r="G57" s="10"/>
      <c r="N57" s="10"/>
    </row>
    <row r="58" spans="1:14" ht="20.25" x14ac:dyDescent="0.35">
      <c r="A58" s="10"/>
      <c r="B58" s="6"/>
      <c r="F58" s="758" t="s">
        <v>801</v>
      </c>
      <c r="I58" s="62" t="s">
        <v>115</v>
      </c>
      <c r="N58" s="10"/>
    </row>
    <row r="59" spans="1:14" ht="15.75" customHeight="1" x14ac:dyDescent="0.2">
      <c r="A59" s="10"/>
      <c r="B59" s="5"/>
      <c r="H59" s="65"/>
      <c r="I59" s="10"/>
    </row>
    <row r="60" spans="1:14" ht="13.5" customHeight="1" thickBot="1" x14ac:dyDescent="0.25">
      <c r="A60" s="10"/>
      <c r="E60" s="6" t="s">
        <v>118</v>
      </c>
      <c r="F60" s="501">
        <f>(F49/F50)^2+(F41/F44)^2</f>
        <v>2.7747542641755687E-2</v>
      </c>
      <c r="H60" s="65"/>
      <c r="I60" s="10"/>
      <c r="J60" s="65"/>
      <c r="K60" s="10"/>
    </row>
    <row r="61" spans="1:14" ht="13.5" customHeight="1" thickBot="1" x14ac:dyDescent="0.25">
      <c r="A61" s="10"/>
      <c r="E61" s="4" t="s">
        <v>296</v>
      </c>
      <c r="F61" s="93" t="str">
        <f>IF(F60&lt;1,"OK","NG")</f>
        <v>OK</v>
      </c>
      <c r="G61" s="10"/>
      <c r="H61" s="65"/>
      <c r="I61" s="10"/>
      <c r="J61" s="65"/>
      <c r="K61" s="10"/>
      <c r="L61" s="10"/>
    </row>
    <row r="62" spans="1:14" x14ac:dyDescent="0.2">
      <c r="A62" s="10"/>
      <c r="B62" s="96"/>
      <c r="C62" s="10"/>
      <c r="D62" s="10"/>
      <c r="E62" s="10"/>
      <c r="F62" s="10"/>
      <c r="G62" s="10"/>
      <c r="H62" s="65"/>
      <c r="I62" s="10"/>
      <c r="J62" s="65"/>
      <c r="K62" s="10"/>
      <c r="L62" s="10"/>
    </row>
    <row r="63" spans="1:14" x14ac:dyDescent="0.2">
      <c r="A63" s="63" t="s">
        <v>119</v>
      </c>
      <c r="B63" s="10"/>
      <c r="C63" s="10"/>
      <c r="D63" s="10"/>
      <c r="E63" s="10"/>
      <c r="F63" s="10"/>
      <c r="G63" s="10"/>
      <c r="H63" s="65"/>
      <c r="I63" s="10"/>
      <c r="J63" s="65"/>
      <c r="K63" s="10"/>
      <c r="L63" s="10"/>
    </row>
    <row r="64" spans="1:14" x14ac:dyDescent="0.2">
      <c r="A64" s="10"/>
      <c r="B64" s="60"/>
      <c r="C64" s="60"/>
      <c r="D64" s="60"/>
      <c r="E64" s="10"/>
      <c r="F64" s="10"/>
      <c r="G64" s="10"/>
      <c r="H64" s="65"/>
      <c r="I64" s="10"/>
      <c r="J64" s="65"/>
      <c r="K64" s="10"/>
      <c r="L64" s="96"/>
    </row>
    <row r="65" spans="1:13" x14ac:dyDescent="0.2">
      <c r="A65" s="10"/>
      <c r="E65" s="91" t="s">
        <v>120</v>
      </c>
      <c r="F65" s="235">
        <f>12*MAX(F29:F31)</f>
        <v>234822.98702196879</v>
      </c>
      <c r="G65" s="62" t="s">
        <v>121</v>
      </c>
      <c r="H65" s="10"/>
      <c r="J65" s="65"/>
      <c r="K65" s="10"/>
      <c r="L65" s="96"/>
    </row>
    <row r="66" spans="1:13" ht="15.75" customHeight="1" x14ac:dyDescent="0.3">
      <c r="A66" s="10"/>
      <c r="E66" s="91" t="s">
        <v>122</v>
      </c>
      <c r="F66" s="51">
        <f>F16/2</f>
        <v>9</v>
      </c>
      <c r="G66" s="10" t="s">
        <v>799</v>
      </c>
      <c r="H66" s="10"/>
      <c r="J66" s="65"/>
      <c r="K66" s="10"/>
      <c r="L66" s="96"/>
    </row>
    <row r="67" spans="1:13" ht="15.75" customHeight="1" x14ac:dyDescent="0.3">
      <c r="A67" s="10"/>
      <c r="E67" s="91" t="s">
        <v>123</v>
      </c>
      <c r="F67" s="51">
        <f>F6/2</f>
        <v>3.25</v>
      </c>
      <c r="G67" s="10" t="s">
        <v>800</v>
      </c>
      <c r="H67" s="10"/>
      <c r="J67" s="65"/>
      <c r="K67" s="10"/>
      <c r="L67" s="96"/>
    </row>
    <row r="68" spans="1:13" ht="15.75" customHeight="1" x14ac:dyDescent="0.2">
      <c r="A68" s="10"/>
      <c r="E68" s="27" t="s">
        <v>124</v>
      </c>
      <c r="F68" s="235">
        <f>F65*(F66-F67)/(F20^2*F67*F66)</f>
        <v>11540.445943387354</v>
      </c>
      <c r="G68" s="92" t="s">
        <v>802</v>
      </c>
      <c r="H68" s="92"/>
      <c r="J68" s="92"/>
      <c r="K68" s="31"/>
      <c r="L68" s="10"/>
    </row>
    <row r="69" spans="1:13" ht="16.5" thickBot="1" x14ac:dyDescent="0.25">
      <c r="A69" s="10"/>
      <c r="E69" s="27" t="s">
        <v>125</v>
      </c>
      <c r="F69" s="502">
        <f>1000*0.75*F9</f>
        <v>37500</v>
      </c>
      <c r="G69" s="31" t="s">
        <v>803</v>
      </c>
      <c r="H69" s="31"/>
      <c r="I69" s="31" t="s">
        <v>126</v>
      </c>
      <c r="L69" s="10"/>
    </row>
    <row r="70" spans="1:13" ht="13.5" customHeight="1" thickBot="1" x14ac:dyDescent="0.25">
      <c r="A70" s="10"/>
      <c r="E70" s="10"/>
      <c r="F70" s="56" t="str">
        <f>IF(F68&lt;F69,"OK","NG")</f>
        <v>OK</v>
      </c>
      <c r="G70" s="62"/>
      <c r="H70" s="10"/>
      <c r="K70" s="10"/>
      <c r="L70" s="10"/>
    </row>
    <row r="71" spans="1:13" x14ac:dyDescent="0.2">
      <c r="A71" s="10"/>
      <c r="B71" s="10"/>
      <c r="C71" s="10"/>
      <c r="D71" s="10"/>
      <c r="E71" s="10"/>
      <c r="F71" s="10"/>
      <c r="G71" s="10"/>
      <c r="K71" s="10"/>
      <c r="L71" s="10"/>
    </row>
    <row r="72" spans="1:13" x14ac:dyDescent="0.2">
      <c r="A72" s="590" t="s">
        <v>533</v>
      </c>
      <c r="J72" s="65"/>
      <c r="K72" s="10"/>
      <c r="L72" s="10"/>
      <c r="M72" s="41"/>
    </row>
    <row r="73" spans="1:13" x14ac:dyDescent="0.2">
      <c r="K73" s="10"/>
      <c r="L73" s="10"/>
    </row>
    <row r="74" spans="1:13" x14ac:dyDescent="0.2">
      <c r="E74" s="2" t="s">
        <v>436</v>
      </c>
      <c r="F74" s="203">
        <f>Input!D97</f>
        <v>18</v>
      </c>
      <c r="G74" s="10" t="s">
        <v>1</v>
      </c>
      <c r="K74" s="10"/>
      <c r="L74" s="10"/>
    </row>
    <row r="75" spans="1:13" x14ac:dyDescent="0.2">
      <c r="E75" s="2" t="s">
        <v>521</v>
      </c>
      <c r="F75" s="203">
        <f>2*Input!D95</f>
        <v>3.5</v>
      </c>
      <c r="G75" s="10" t="s">
        <v>522</v>
      </c>
      <c r="K75" s="10"/>
      <c r="L75" s="10"/>
    </row>
    <row r="76" spans="1:13" x14ac:dyDescent="0.2">
      <c r="E76" s="2" t="s">
        <v>413</v>
      </c>
      <c r="F76" s="203">
        <f>Input!D61</f>
        <v>6.5</v>
      </c>
      <c r="G76" s="10" t="s">
        <v>1</v>
      </c>
      <c r="K76" s="10"/>
      <c r="L76" s="10"/>
    </row>
    <row r="77" spans="1:13" x14ac:dyDescent="0.2">
      <c r="E77" s="2" t="s">
        <v>437</v>
      </c>
      <c r="F77" s="203">
        <f>(F74-F75-F76)/2</f>
        <v>4</v>
      </c>
      <c r="G77" s="10" t="s">
        <v>1</v>
      </c>
      <c r="K77" s="10"/>
      <c r="L77" s="10"/>
    </row>
    <row r="78" spans="1:13" ht="13.5" thickBot="1" x14ac:dyDescent="0.25">
      <c r="E78" s="2" t="s">
        <v>438</v>
      </c>
      <c r="F78" s="481">
        <f>Input!D95+0.25</f>
        <v>2</v>
      </c>
      <c r="G78" s="10" t="s">
        <v>523</v>
      </c>
    </row>
    <row r="79" spans="1:13" ht="13.5" thickBot="1" x14ac:dyDescent="0.25">
      <c r="E79" s="2" t="s">
        <v>296</v>
      </c>
      <c r="F79" s="504" t="str">
        <f>IF(F77&gt;=F78,"OK","WARNING")</f>
        <v>OK</v>
      </c>
      <c r="G79" s="10"/>
    </row>
    <row r="80" spans="1:13" x14ac:dyDescent="0.2">
      <c r="E80" s="4" t="s">
        <v>439</v>
      </c>
      <c r="F80" s="896" t="str">
        <f>IF(F79="OK","N/A","WARNING: Clearance less than Bolt Diameter + 1/4''.  Confirm adequate clearance.")</f>
        <v>N/A</v>
      </c>
      <c r="G80" s="896"/>
      <c r="H80" s="896"/>
      <c r="I80" s="896"/>
      <c r="J80" s="896"/>
      <c r="K80" s="896"/>
    </row>
    <row r="81" spans="1:11" x14ac:dyDescent="0.2">
      <c r="D81" s="237"/>
      <c r="E81" s="237"/>
      <c r="F81" s="896"/>
      <c r="G81" s="896"/>
      <c r="H81" s="896"/>
      <c r="I81" s="896"/>
      <c r="J81" s="896"/>
      <c r="K81" s="896"/>
    </row>
    <row r="83" spans="1:11" x14ac:dyDescent="0.2">
      <c r="A83" s="63" t="s">
        <v>534</v>
      </c>
    </row>
    <row r="85" spans="1:11" x14ac:dyDescent="0.2">
      <c r="E85" s="2" t="s">
        <v>535</v>
      </c>
      <c r="F85" s="43">
        <f>F19</f>
        <v>23.25</v>
      </c>
      <c r="G85" s="1" t="s">
        <v>1</v>
      </c>
    </row>
    <row r="86" spans="1:11" x14ac:dyDescent="0.2">
      <c r="E86" s="2" t="s">
        <v>436</v>
      </c>
      <c r="F86" s="43">
        <f>F74</f>
        <v>18</v>
      </c>
      <c r="G86" s="1" t="s">
        <v>1</v>
      </c>
    </row>
    <row r="87" spans="1:11" x14ac:dyDescent="0.2">
      <c r="E87" s="2" t="s">
        <v>536</v>
      </c>
    </row>
    <row r="88" spans="1:11" ht="15.75" x14ac:dyDescent="0.2">
      <c r="E88" s="4" t="s">
        <v>537</v>
      </c>
      <c r="F88" s="371">
        <f>MAX(E29:E31)/F14</f>
        <v>157.20253127542685</v>
      </c>
      <c r="G88" s="1" t="s">
        <v>111</v>
      </c>
    </row>
    <row r="89" spans="1:11" ht="15.75" x14ac:dyDescent="0.2">
      <c r="E89" s="2" t="s">
        <v>538</v>
      </c>
      <c r="F89" s="10" t="s">
        <v>539</v>
      </c>
    </row>
    <row r="90" spans="1:11" x14ac:dyDescent="0.2">
      <c r="E90" s="4" t="s">
        <v>292</v>
      </c>
      <c r="F90" s="43">
        <f>(2*F88/1000)/(F10*F20)</f>
        <v>2.4185004811604132E-3</v>
      </c>
      <c r="G90" s="1" t="s">
        <v>1</v>
      </c>
    </row>
    <row r="91" spans="1:11" x14ac:dyDescent="0.2">
      <c r="E91" s="2" t="s">
        <v>541</v>
      </c>
      <c r="F91" s="42">
        <f>F75/2+0.25</f>
        <v>2</v>
      </c>
      <c r="G91" s="10" t="s">
        <v>542</v>
      </c>
    </row>
    <row r="92" spans="1:11" x14ac:dyDescent="0.2">
      <c r="E92" s="2" t="s">
        <v>543</v>
      </c>
      <c r="F92" s="43">
        <f>MAX(F90:F91)</f>
        <v>2</v>
      </c>
      <c r="G92" s="1" t="s">
        <v>1</v>
      </c>
    </row>
    <row r="93" spans="1:11" ht="13.5" thickBot="1" x14ac:dyDescent="0.25">
      <c r="E93" s="2" t="s">
        <v>544</v>
      </c>
      <c r="F93" s="363">
        <f>(F85-F86)/2</f>
        <v>2.625</v>
      </c>
      <c r="G93" s="1" t="s">
        <v>1</v>
      </c>
    </row>
    <row r="94" spans="1:11" ht="13.5" thickBot="1" x14ac:dyDescent="0.25">
      <c r="E94" s="4" t="s">
        <v>296</v>
      </c>
      <c r="F94" s="372" t="str">
        <f>IF(F93&gt;=F92,"OK","WARNING")</f>
        <v>OK</v>
      </c>
    </row>
    <row r="95" spans="1:11" ht="12.75" customHeight="1" x14ac:dyDescent="0.2">
      <c r="E95" s="4" t="s">
        <v>439</v>
      </c>
      <c r="F95" s="896" t="str">
        <f>IF(F94="OK","N/A","WARNING: Edge distance less than the greater of Le or Washer Dia. ÷ 2 + 1/4''.  Confirm adequate edge distance.")</f>
        <v>N/A</v>
      </c>
      <c r="G95" s="896"/>
      <c r="H95" s="896"/>
      <c r="I95" s="896"/>
      <c r="J95" s="896"/>
      <c r="K95" s="896"/>
    </row>
    <row r="96" spans="1:11" x14ac:dyDescent="0.2">
      <c r="D96" s="237"/>
      <c r="E96" s="237"/>
      <c r="F96" s="896"/>
      <c r="G96" s="896"/>
      <c r="H96" s="896"/>
      <c r="I96" s="896"/>
      <c r="J96" s="896"/>
      <c r="K96" s="896"/>
    </row>
    <row r="97" spans="4:11" x14ac:dyDescent="0.2">
      <c r="D97" s="237"/>
      <c r="E97" s="237"/>
      <c r="F97" s="896"/>
      <c r="G97" s="896"/>
      <c r="H97" s="896"/>
      <c r="I97" s="896"/>
      <c r="J97" s="896"/>
      <c r="K97" s="896"/>
    </row>
  </sheetData>
  <sheetProtection password="F828" sheet="1"/>
  <mergeCells count="3">
    <mergeCell ref="H35:L35"/>
    <mergeCell ref="F95:K97"/>
    <mergeCell ref="F80:K81"/>
  </mergeCells>
  <phoneticPr fontId="12" type="noConversion"/>
  <pageMargins left="0.75" right="0.75" top="0.75" bottom="0.75" header="0.5" footer="0.5"/>
  <pageSetup scale="80" orientation="portrait" r:id="rId1"/>
  <headerFooter alignWithMargins="0">
    <oddHeader>&amp;L&amp;"Arial,Regular"&amp;F&amp;C&amp;"Arial,Regular"&amp;A&amp;R&amp;"Arial,Regular"&amp;D, &amp;T</oddHeader>
    <oddFooter xml:space="preserve">&amp;C&amp;"Arial,Regular"Page &amp;P of &amp;N&amp;R
</oddFooter>
  </headerFooter>
  <rowBreaks count="1" manualBreakCount="1">
    <brk id="54" max="1638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164"/>
  <sheetViews>
    <sheetView workbookViewId="0">
      <selection activeCell="B32" sqref="B32"/>
    </sheetView>
  </sheetViews>
  <sheetFormatPr defaultRowHeight="12.75" x14ac:dyDescent="0.2"/>
  <cols>
    <col min="1" max="1" width="24.6640625" style="126" customWidth="1"/>
    <col min="2" max="2" width="21.33203125" style="126" customWidth="1"/>
    <col min="3" max="3" width="17.33203125" style="126" customWidth="1"/>
    <col min="4" max="4" width="18.5" style="126" customWidth="1"/>
    <col min="5" max="5" width="24.1640625" style="126" customWidth="1"/>
    <col min="6" max="6" width="17.5" style="126" customWidth="1"/>
    <col min="7" max="7" width="11" style="126" customWidth="1"/>
    <col min="8" max="8" width="17.83203125" style="126" customWidth="1"/>
    <col min="9" max="9" width="12.6640625" style="126" customWidth="1"/>
    <col min="10" max="10" width="14.1640625" style="126" customWidth="1"/>
    <col min="11" max="11" width="11" style="126" customWidth="1"/>
    <col min="12" max="12" width="10.6640625" style="126" customWidth="1"/>
    <col min="13" max="13" width="11.33203125" style="126" customWidth="1"/>
    <col min="14" max="16384" width="9.33203125" style="126"/>
  </cols>
  <sheetData>
    <row r="1" spans="1:8" ht="51.75" customHeight="1" x14ac:dyDescent="0.2">
      <c r="A1" s="148" t="s">
        <v>203</v>
      </c>
      <c r="B1" s="148" t="s">
        <v>204</v>
      </c>
      <c r="C1" s="148" t="s">
        <v>205</v>
      </c>
      <c r="D1" s="149" t="s">
        <v>206</v>
      </c>
      <c r="E1" s="905" t="s">
        <v>795</v>
      </c>
      <c r="F1" s="906"/>
      <c r="G1" s="906"/>
      <c r="H1" s="906"/>
    </row>
    <row r="2" spans="1:8" x14ac:dyDescent="0.2">
      <c r="A2" s="151" t="s">
        <v>173</v>
      </c>
      <c r="B2" s="151">
        <v>0</v>
      </c>
      <c r="C2" s="151">
        <v>0</v>
      </c>
      <c r="D2" s="150">
        <v>0</v>
      </c>
      <c r="E2" s="907" t="s">
        <v>764</v>
      </c>
      <c r="F2" s="908"/>
      <c r="G2" s="908"/>
      <c r="H2" s="908"/>
    </row>
    <row r="3" spans="1:8" x14ac:dyDescent="0.2">
      <c r="A3" s="147" t="s">
        <v>174</v>
      </c>
      <c r="B3" s="147">
        <v>70</v>
      </c>
      <c r="C3" s="147">
        <v>8.76</v>
      </c>
      <c r="D3" s="150">
        <f t="shared" ref="D3:D18" si="0">2*C3+2</f>
        <v>19.52</v>
      </c>
      <c r="E3" s="907"/>
      <c r="F3" s="908"/>
      <c r="G3" s="908"/>
      <c r="H3" s="908"/>
    </row>
    <row r="4" spans="1:8" x14ac:dyDescent="0.2">
      <c r="A4" s="147" t="s">
        <v>181</v>
      </c>
      <c r="B4" s="147">
        <v>89</v>
      </c>
      <c r="C4" s="147">
        <v>11.04</v>
      </c>
      <c r="D4" s="150">
        <f t="shared" si="0"/>
        <v>24.08</v>
      </c>
      <c r="E4" s="907"/>
      <c r="F4" s="908"/>
      <c r="G4" s="908"/>
      <c r="H4" s="908"/>
    </row>
    <row r="5" spans="1:8" x14ac:dyDescent="0.2">
      <c r="A5" s="147" t="s">
        <v>175</v>
      </c>
      <c r="B5" s="147">
        <v>97</v>
      </c>
      <c r="C5" s="147">
        <v>13.89</v>
      </c>
      <c r="D5" s="150">
        <f t="shared" si="0"/>
        <v>29.78</v>
      </c>
    </row>
    <row r="6" spans="1:8" x14ac:dyDescent="0.2">
      <c r="A6" s="147" t="s">
        <v>186</v>
      </c>
      <c r="B6" s="147">
        <v>129</v>
      </c>
      <c r="C6" s="147">
        <v>8.76</v>
      </c>
      <c r="D6" s="150">
        <f t="shared" si="0"/>
        <v>19.52</v>
      </c>
    </row>
    <row r="7" spans="1:8" x14ac:dyDescent="0.2">
      <c r="A7" s="147" t="s">
        <v>188</v>
      </c>
      <c r="B7" s="147">
        <v>131</v>
      </c>
      <c r="C7" s="147">
        <v>13.41</v>
      </c>
      <c r="D7" s="150">
        <f t="shared" si="0"/>
        <v>28.82</v>
      </c>
    </row>
    <row r="8" spans="1:8" x14ac:dyDescent="0.2">
      <c r="A8" s="147" t="s">
        <v>189</v>
      </c>
      <c r="B8" s="147">
        <v>165</v>
      </c>
      <c r="C8" s="147">
        <v>11.04</v>
      </c>
      <c r="D8" s="150">
        <f t="shared" si="0"/>
        <v>24.08</v>
      </c>
    </row>
    <row r="9" spans="1:8" x14ac:dyDescent="0.2">
      <c r="A9" s="147" t="s">
        <v>190</v>
      </c>
      <c r="B9" s="147">
        <v>167</v>
      </c>
      <c r="C9" s="147">
        <v>17.239999999999998</v>
      </c>
      <c r="D9" s="150">
        <f t="shared" si="0"/>
        <v>36.479999999999997</v>
      </c>
    </row>
    <row r="10" spans="1:8" x14ac:dyDescent="0.2">
      <c r="A10" s="147" t="s">
        <v>191</v>
      </c>
      <c r="B10" s="147">
        <v>189</v>
      </c>
      <c r="C10" s="147">
        <v>13.89</v>
      </c>
      <c r="D10" s="150">
        <f t="shared" si="0"/>
        <v>29.78</v>
      </c>
    </row>
    <row r="11" spans="1:8" x14ac:dyDescent="0.2">
      <c r="A11" s="147" t="s">
        <v>192</v>
      </c>
      <c r="B11" s="147">
        <v>190</v>
      </c>
      <c r="C11" s="147">
        <v>13.41</v>
      </c>
      <c r="D11" s="150">
        <f t="shared" si="0"/>
        <v>28.82</v>
      </c>
    </row>
    <row r="12" spans="1:8" x14ac:dyDescent="0.2">
      <c r="A12" s="147" t="s">
        <v>193</v>
      </c>
      <c r="B12" s="147">
        <v>190</v>
      </c>
      <c r="C12" s="147">
        <v>18.059999999999999</v>
      </c>
      <c r="D12" s="150">
        <f t="shared" si="0"/>
        <v>38.119999999999997</v>
      </c>
    </row>
    <row r="13" spans="1:8" x14ac:dyDescent="0.2">
      <c r="A13" s="147" t="s">
        <v>194</v>
      </c>
      <c r="B13" s="147">
        <v>242</v>
      </c>
      <c r="C13" s="147">
        <v>17.239999999999998</v>
      </c>
      <c r="D13" s="150">
        <f t="shared" si="0"/>
        <v>36.479999999999997</v>
      </c>
    </row>
    <row r="14" spans="1:8" x14ac:dyDescent="0.2">
      <c r="A14" s="147" t="s">
        <v>195</v>
      </c>
      <c r="B14" s="147">
        <v>242</v>
      </c>
      <c r="C14" s="147">
        <v>23.44</v>
      </c>
      <c r="D14" s="150">
        <f t="shared" si="0"/>
        <v>48.88</v>
      </c>
    </row>
    <row r="15" spans="1:8" x14ac:dyDescent="0.2">
      <c r="A15" s="147" t="s">
        <v>196</v>
      </c>
      <c r="B15" s="147">
        <v>249</v>
      </c>
      <c r="C15" s="147">
        <v>18.059999999999999</v>
      </c>
      <c r="D15" s="150">
        <f t="shared" si="0"/>
        <v>38.119999999999997</v>
      </c>
    </row>
    <row r="16" spans="1:8" x14ac:dyDescent="0.2">
      <c r="A16" s="147" t="s">
        <v>197</v>
      </c>
      <c r="B16" s="147">
        <v>318</v>
      </c>
      <c r="C16" s="147">
        <v>23.44</v>
      </c>
      <c r="D16" s="150">
        <f t="shared" si="0"/>
        <v>48.88</v>
      </c>
    </row>
    <row r="17" spans="1:10" x14ac:dyDescent="0.2">
      <c r="A17" s="147" t="s">
        <v>322</v>
      </c>
      <c r="B17" s="147">
        <v>40</v>
      </c>
      <c r="C17" s="147">
        <v>2.4700000000000002</v>
      </c>
      <c r="D17" s="150">
        <f t="shared" si="0"/>
        <v>6.94</v>
      </c>
    </row>
    <row r="18" spans="1:10" x14ac:dyDescent="0.2">
      <c r="A18" s="147" t="s">
        <v>323</v>
      </c>
      <c r="B18" s="147">
        <v>80</v>
      </c>
      <c r="C18" s="147">
        <v>5.14</v>
      </c>
      <c r="D18" s="150">
        <f t="shared" si="0"/>
        <v>12.28</v>
      </c>
    </row>
    <row r="23" spans="1:10" x14ac:dyDescent="0.2">
      <c r="A23" s="602" t="s">
        <v>565</v>
      </c>
    </row>
    <row r="24" spans="1:10" ht="15.75" x14ac:dyDescent="0.3">
      <c r="B24" s="606" t="s">
        <v>566</v>
      </c>
      <c r="C24" s="605">
        <v>80</v>
      </c>
      <c r="D24" s="603" t="s">
        <v>10</v>
      </c>
      <c r="I24" s="606" t="s">
        <v>765</v>
      </c>
    </row>
    <row r="25" spans="1:10" ht="15.75" x14ac:dyDescent="0.3">
      <c r="B25" s="606" t="s">
        <v>567</v>
      </c>
      <c r="C25" s="607">
        <v>1</v>
      </c>
      <c r="D25" s="603"/>
      <c r="I25" s="610" t="s">
        <v>572</v>
      </c>
    </row>
    <row r="26" spans="1:10" ht="15.75" x14ac:dyDescent="0.2">
      <c r="B26" s="609" t="s">
        <v>568</v>
      </c>
      <c r="C26" s="608" t="s">
        <v>569</v>
      </c>
      <c r="D26" s="604"/>
      <c r="I26" s="609" t="s">
        <v>573</v>
      </c>
    </row>
    <row r="27" spans="1:10" ht="15.75" x14ac:dyDescent="0.2">
      <c r="B27" s="609" t="s">
        <v>570</v>
      </c>
      <c r="C27" s="608" t="s">
        <v>571</v>
      </c>
      <c r="D27" s="604"/>
    </row>
    <row r="29" spans="1:10" x14ac:dyDescent="0.2">
      <c r="A29" s="612" t="s">
        <v>574</v>
      </c>
      <c r="B29" s="603"/>
      <c r="C29" s="603"/>
      <c r="D29" s="603"/>
      <c r="E29" s="603"/>
      <c r="F29" s="603"/>
      <c r="G29" s="603"/>
      <c r="H29" s="603"/>
      <c r="I29" s="603"/>
      <c r="J29" s="613"/>
    </row>
    <row r="30" spans="1:10" ht="14.25" x14ac:dyDescent="0.2">
      <c r="A30" s="603"/>
      <c r="B30" s="606" t="s">
        <v>575</v>
      </c>
      <c r="C30" s="605">
        <v>3</v>
      </c>
      <c r="D30" s="616" t="s">
        <v>576</v>
      </c>
      <c r="E30" s="614"/>
      <c r="F30" s="611"/>
      <c r="G30" s="616"/>
      <c r="H30" s="603"/>
      <c r="I30" s="606" t="s">
        <v>577</v>
      </c>
    </row>
    <row r="31" spans="1:10" x14ac:dyDescent="0.2">
      <c r="A31" s="603"/>
      <c r="B31" s="606"/>
      <c r="C31" s="615"/>
      <c r="D31" s="616"/>
      <c r="E31" s="614"/>
      <c r="F31" s="611"/>
      <c r="G31" s="616"/>
      <c r="H31" s="603"/>
      <c r="I31" s="606"/>
    </row>
    <row r="32" spans="1:10" x14ac:dyDescent="0.2">
      <c r="A32" s="612" t="s">
        <v>582</v>
      </c>
    </row>
    <row r="33" spans="1:16" x14ac:dyDescent="0.2">
      <c r="A33" s="612"/>
      <c r="B33" s="619" t="s">
        <v>583</v>
      </c>
      <c r="C33" s="152">
        <f>0.75</f>
        <v>0.75</v>
      </c>
    </row>
    <row r="34" spans="1:16" ht="15.75" x14ac:dyDescent="0.2">
      <c r="A34" s="612"/>
      <c r="B34" s="619" t="s">
        <v>584</v>
      </c>
      <c r="C34" s="126" t="s">
        <v>589</v>
      </c>
    </row>
    <row r="36" spans="1:16" ht="27.75" customHeight="1" x14ac:dyDescent="0.2">
      <c r="A36" s="912" t="s">
        <v>207</v>
      </c>
      <c r="B36" s="911" t="s">
        <v>208</v>
      </c>
      <c r="C36" s="909" t="s">
        <v>209</v>
      </c>
      <c r="D36" s="912" t="s">
        <v>578</v>
      </c>
      <c r="E36" s="938" t="s">
        <v>579</v>
      </c>
      <c r="F36" s="623" t="s">
        <v>587</v>
      </c>
      <c r="G36" s="914" t="s">
        <v>580</v>
      </c>
      <c r="H36" s="620" t="s">
        <v>588</v>
      </c>
      <c r="I36" s="936" t="s">
        <v>581</v>
      </c>
      <c r="J36" s="930" t="s">
        <v>586</v>
      </c>
      <c r="K36" s="930" t="s">
        <v>585</v>
      </c>
    </row>
    <row r="37" spans="1:16" x14ac:dyDescent="0.2">
      <c r="A37" s="912"/>
      <c r="B37" s="911"/>
      <c r="C37" s="910"/>
      <c r="D37" s="912"/>
      <c r="E37" s="938"/>
      <c r="F37" s="624" t="s">
        <v>24</v>
      </c>
      <c r="G37" s="914"/>
      <c r="H37" s="621" t="s">
        <v>22</v>
      </c>
      <c r="I37" s="937"/>
      <c r="J37" s="931"/>
      <c r="K37" s="931"/>
    </row>
    <row r="38" spans="1:16" x14ac:dyDescent="0.2">
      <c r="A38" s="599" t="s">
        <v>173</v>
      </c>
      <c r="B38" s="150">
        <f>5*C38</f>
        <v>0</v>
      </c>
      <c r="C38" s="601">
        <v>0</v>
      </c>
      <c r="D38" s="618">
        <v>0</v>
      </c>
      <c r="E38" s="223">
        <f>0.00256*(1.3*$C$24)^2*$C$25*D38</f>
        <v>0</v>
      </c>
      <c r="F38" s="622">
        <v>0</v>
      </c>
      <c r="G38" s="223">
        <f t="shared" ref="G38:G55" si="1">E38*C38</f>
        <v>0</v>
      </c>
      <c r="H38" s="625">
        <f>F38*C38</f>
        <v>0</v>
      </c>
      <c r="I38" s="152">
        <f t="shared" ref="I38:I55" si="2">$C$30*C38</f>
        <v>0</v>
      </c>
      <c r="J38" s="224">
        <f t="shared" ref="J38:J55" si="3">5.2*$C$33*D38</f>
        <v>0</v>
      </c>
      <c r="K38" s="224">
        <f t="shared" ref="K38:K55" si="4">C38*J38</f>
        <v>0</v>
      </c>
      <c r="L38" s="126" t="s">
        <v>564</v>
      </c>
    </row>
    <row r="39" spans="1:16" ht="12.75" customHeight="1" x14ac:dyDescent="0.2">
      <c r="A39" s="598" t="s">
        <v>550</v>
      </c>
      <c r="B39" s="150">
        <f t="shared" ref="B39:B52" si="5">5*C39</f>
        <v>11.25</v>
      </c>
      <c r="C39" s="601">
        <v>2.25</v>
      </c>
      <c r="D39" s="617">
        <v>1.1200000000000001</v>
      </c>
      <c r="E39" s="223">
        <f t="shared" ref="E39:E55" si="6">0.00256*(1.3*$C$24)^2*$C$25*D39</f>
        <v>31.011635200000004</v>
      </c>
      <c r="F39" s="224">
        <f>IF(E39&gt;25,E39,25)</f>
        <v>31.011635200000004</v>
      </c>
      <c r="G39" s="223">
        <f t="shared" si="1"/>
        <v>69.776179200000016</v>
      </c>
      <c r="H39" s="223">
        <f t="shared" ref="H39:H55" si="7">F39*C39</f>
        <v>69.776179200000016</v>
      </c>
      <c r="I39" s="152">
        <f t="shared" si="2"/>
        <v>6.75</v>
      </c>
      <c r="J39" s="224">
        <f t="shared" si="3"/>
        <v>4.3680000000000012</v>
      </c>
      <c r="K39" s="224">
        <f t="shared" si="4"/>
        <v>9.828000000000003</v>
      </c>
      <c r="L39" s="939" t="s">
        <v>766</v>
      </c>
      <c r="M39" s="940"/>
      <c r="N39" s="940"/>
      <c r="O39" s="940"/>
      <c r="P39" s="940"/>
    </row>
    <row r="40" spans="1:16" x14ac:dyDescent="0.2">
      <c r="A40" s="599" t="s">
        <v>551</v>
      </c>
      <c r="B40" s="150">
        <f t="shared" si="5"/>
        <v>15</v>
      </c>
      <c r="C40" s="601">
        <v>3</v>
      </c>
      <c r="D40" s="618">
        <v>1.19</v>
      </c>
      <c r="E40" s="223">
        <f t="shared" si="6"/>
        <v>32.949862400000001</v>
      </c>
      <c r="F40" s="224">
        <f t="shared" ref="F40:F55" si="8">IF(E40&gt;25,E40,25)</f>
        <v>32.949862400000001</v>
      </c>
      <c r="G40" s="223">
        <f t="shared" si="1"/>
        <v>98.849587200000002</v>
      </c>
      <c r="H40" s="223">
        <f t="shared" si="7"/>
        <v>98.849587200000002</v>
      </c>
      <c r="I40" s="152">
        <f t="shared" si="2"/>
        <v>9</v>
      </c>
      <c r="J40" s="224">
        <f t="shared" si="3"/>
        <v>4.641</v>
      </c>
      <c r="K40" s="224">
        <f t="shared" si="4"/>
        <v>13.923</v>
      </c>
      <c r="L40" s="939"/>
      <c r="M40" s="940"/>
      <c r="N40" s="940"/>
      <c r="O40" s="940"/>
      <c r="P40" s="940"/>
    </row>
    <row r="41" spans="1:16" x14ac:dyDescent="0.2">
      <c r="A41" s="598" t="s">
        <v>552</v>
      </c>
      <c r="B41" s="150">
        <f t="shared" si="5"/>
        <v>20</v>
      </c>
      <c r="C41" s="601">
        <v>4</v>
      </c>
      <c r="D41" s="617">
        <v>1.1200000000000001</v>
      </c>
      <c r="E41" s="223">
        <f t="shared" si="6"/>
        <v>31.011635200000004</v>
      </c>
      <c r="F41" s="224">
        <f t="shared" si="8"/>
        <v>31.011635200000004</v>
      </c>
      <c r="G41" s="223">
        <f t="shared" si="1"/>
        <v>124.04654080000002</v>
      </c>
      <c r="H41" s="223">
        <f t="shared" si="7"/>
        <v>124.04654080000002</v>
      </c>
      <c r="I41" s="152">
        <f t="shared" si="2"/>
        <v>12</v>
      </c>
      <c r="J41" s="224">
        <f t="shared" si="3"/>
        <v>4.3680000000000012</v>
      </c>
      <c r="K41" s="224">
        <f t="shared" si="4"/>
        <v>17.472000000000005</v>
      </c>
      <c r="L41" s="939"/>
      <c r="M41" s="940"/>
      <c r="N41" s="940"/>
      <c r="O41" s="940"/>
      <c r="P41" s="940"/>
    </row>
    <row r="42" spans="1:16" x14ac:dyDescent="0.2">
      <c r="A42" s="598" t="s">
        <v>553</v>
      </c>
      <c r="B42" s="150">
        <f t="shared" si="5"/>
        <v>25</v>
      </c>
      <c r="C42" s="601">
        <v>5</v>
      </c>
      <c r="D42" s="617">
        <v>1.19</v>
      </c>
      <c r="E42" s="223">
        <f t="shared" si="6"/>
        <v>32.949862400000001</v>
      </c>
      <c r="F42" s="224">
        <f t="shared" si="8"/>
        <v>32.949862400000001</v>
      </c>
      <c r="G42" s="223">
        <f t="shared" si="1"/>
        <v>164.749312</v>
      </c>
      <c r="H42" s="223">
        <f t="shared" si="7"/>
        <v>164.749312</v>
      </c>
      <c r="I42" s="152">
        <f t="shared" si="2"/>
        <v>15</v>
      </c>
      <c r="J42" s="224">
        <f t="shared" si="3"/>
        <v>4.641</v>
      </c>
      <c r="K42" s="224">
        <f t="shared" si="4"/>
        <v>23.204999999999998</v>
      </c>
      <c r="L42" s="939"/>
      <c r="M42" s="940"/>
      <c r="N42" s="940"/>
      <c r="O42" s="940"/>
      <c r="P42" s="940"/>
    </row>
    <row r="43" spans="1:16" x14ac:dyDescent="0.2">
      <c r="A43" s="600" t="s">
        <v>554</v>
      </c>
      <c r="B43" s="150">
        <f t="shared" si="5"/>
        <v>31.25</v>
      </c>
      <c r="C43" s="601">
        <v>6.25</v>
      </c>
      <c r="D43" s="618">
        <v>1.1200000000000001</v>
      </c>
      <c r="E43" s="223">
        <f t="shared" si="6"/>
        <v>31.011635200000004</v>
      </c>
      <c r="F43" s="224">
        <f t="shared" si="8"/>
        <v>31.011635200000004</v>
      </c>
      <c r="G43" s="223">
        <f t="shared" si="1"/>
        <v>193.82272000000003</v>
      </c>
      <c r="H43" s="223">
        <f t="shared" si="7"/>
        <v>193.82272000000003</v>
      </c>
      <c r="I43" s="152">
        <f t="shared" si="2"/>
        <v>18.75</v>
      </c>
      <c r="J43" s="224">
        <f t="shared" si="3"/>
        <v>4.3680000000000012</v>
      </c>
      <c r="K43" s="224">
        <f t="shared" si="4"/>
        <v>27.300000000000008</v>
      </c>
      <c r="L43" s="939"/>
      <c r="M43" s="940"/>
      <c r="N43" s="940"/>
      <c r="O43" s="940"/>
      <c r="P43" s="940"/>
    </row>
    <row r="44" spans="1:16" x14ac:dyDescent="0.2">
      <c r="A44" s="600" t="s">
        <v>177</v>
      </c>
      <c r="B44" s="150">
        <v>39</v>
      </c>
      <c r="C44" s="601">
        <v>7.48</v>
      </c>
      <c r="D44" s="618">
        <v>1.19</v>
      </c>
      <c r="E44" s="223">
        <f t="shared" si="6"/>
        <v>32.949862400000001</v>
      </c>
      <c r="F44" s="224">
        <f t="shared" si="8"/>
        <v>32.949862400000001</v>
      </c>
      <c r="G44" s="223">
        <f t="shared" si="1"/>
        <v>246.46497075200003</v>
      </c>
      <c r="H44" s="223">
        <f t="shared" si="7"/>
        <v>246.46497075200003</v>
      </c>
      <c r="I44" s="152">
        <f t="shared" si="2"/>
        <v>22.44</v>
      </c>
      <c r="J44" s="224">
        <f t="shared" si="3"/>
        <v>4.641</v>
      </c>
      <c r="K44" s="224">
        <f t="shared" si="4"/>
        <v>34.714680000000001</v>
      </c>
    </row>
    <row r="45" spans="1:16" x14ac:dyDescent="0.2">
      <c r="A45" s="600" t="s">
        <v>555</v>
      </c>
      <c r="B45" s="150">
        <f t="shared" si="5"/>
        <v>30</v>
      </c>
      <c r="C45" s="601">
        <v>6</v>
      </c>
      <c r="D45" s="618">
        <v>1.19</v>
      </c>
      <c r="E45" s="223">
        <f t="shared" si="6"/>
        <v>32.949862400000001</v>
      </c>
      <c r="F45" s="224">
        <f t="shared" si="8"/>
        <v>32.949862400000001</v>
      </c>
      <c r="G45" s="223">
        <f t="shared" si="1"/>
        <v>197.6991744</v>
      </c>
      <c r="H45" s="223">
        <f t="shared" si="7"/>
        <v>197.6991744</v>
      </c>
      <c r="I45" s="152">
        <f t="shared" si="2"/>
        <v>18</v>
      </c>
      <c r="J45" s="224">
        <f t="shared" si="3"/>
        <v>4.641</v>
      </c>
      <c r="K45" s="224">
        <f t="shared" si="4"/>
        <v>27.846</v>
      </c>
    </row>
    <row r="46" spans="1:16" x14ac:dyDescent="0.2">
      <c r="A46" s="600" t="s">
        <v>556</v>
      </c>
      <c r="B46" s="150">
        <f t="shared" si="5"/>
        <v>37.5</v>
      </c>
      <c r="C46" s="601">
        <v>7.5</v>
      </c>
      <c r="D46" s="618">
        <v>1.19</v>
      </c>
      <c r="E46" s="223">
        <f t="shared" si="6"/>
        <v>32.949862400000001</v>
      </c>
      <c r="F46" s="224">
        <f t="shared" si="8"/>
        <v>32.949862400000001</v>
      </c>
      <c r="G46" s="223">
        <f t="shared" si="1"/>
        <v>247.12396799999999</v>
      </c>
      <c r="H46" s="223">
        <f t="shared" si="7"/>
        <v>247.12396799999999</v>
      </c>
      <c r="I46" s="152">
        <f t="shared" si="2"/>
        <v>22.5</v>
      </c>
      <c r="J46" s="224">
        <f t="shared" si="3"/>
        <v>4.641</v>
      </c>
      <c r="K46" s="224">
        <f t="shared" si="4"/>
        <v>34.807499999999997</v>
      </c>
    </row>
    <row r="47" spans="1:16" x14ac:dyDescent="0.2">
      <c r="A47" s="600" t="s">
        <v>557</v>
      </c>
      <c r="B47" s="150">
        <f t="shared" si="5"/>
        <v>45</v>
      </c>
      <c r="C47" s="601">
        <v>9</v>
      </c>
      <c r="D47" s="618">
        <v>1.1200000000000001</v>
      </c>
      <c r="E47" s="223">
        <f t="shared" si="6"/>
        <v>31.011635200000004</v>
      </c>
      <c r="F47" s="224">
        <f t="shared" si="8"/>
        <v>31.011635200000004</v>
      </c>
      <c r="G47" s="223">
        <f t="shared" si="1"/>
        <v>279.10471680000006</v>
      </c>
      <c r="H47" s="223">
        <f t="shared" si="7"/>
        <v>279.10471680000006</v>
      </c>
      <c r="I47" s="152">
        <f t="shared" si="2"/>
        <v>27</v>
      </c>
      <c r="J47" s="224">
        <f t="shared" si="3"/>
        <v>4.3680000000000012</v>
      </c>
      <c r="K47" s="224">
        <f t="shared" si="4"/>
        <v>39.312000000000012</v>
      </c>
    </row>
    <row r="48" spans="1:16" x14ac:dyDescent="0.2">
      <c r="A48" s="600" t="s">
        <v>558</v>
      </c>
      <c r="B48" s="150">
        <f t="shared" si="5"/>
        <v>13.35</v>
      </c>
      <c r="C48" s="601">
        <v>2.67</v>
      </c>
      <c r="D48" s="618">
        <v>1.23</v>
      </c>
      <c r="E48" s="223">
        <f t="shared" si="6"/>
        <v>34.057420800000003</v>
      </c>
      <c r="F48" s="224">
        <f t="shared" si="8"/>
        <v>34.057420800000003</v>
      </c>
      <c r="G48" s="223">
        <f t="shared" si="1"/>
        <v>90.933313536</v>
      </c>
      <c r="H48" s="223">
        <f t="shared" si="7"/>
        <v>90.933313536</v>
      </c>
      <c r="I48" s="152">
        <f t="shared" si="2"/>
        <v>8.01</v>
      </c>
      <c r="J48" s="224">
        <f t="shared" si="3"/>
        <v>4.7970000000000006</v>
      </c>
      <c r="K48" s="224">
        <f t="shared" si="4"/>
        <v>12.807990000000002</v>
      </c>
    </row>
    <row r="49" spans="1:11" x14ac:dyDescent="0.2">
      <c r="A49" s="600" t="s">
        <v>559</v>
      </c>
      <c r="B49" s="150">
        <f t="shared" si="5"/>
        <v>26.65</v>
      </c>
      <c r="C49" s="601">
        <v>5.33</v>
      </c>
      <c r="D49" s="618">
        <v>1.2</v>
      </c>
      <c r="E49" s="223">
        <f t="shared" si="6"/>
        <v>33.226751999999998</v>
      </c>
      <c r="F49" s="224">
        <f t="shared" si="8"/>
        <v>33.226751999999998</v>
      </c>
      <c r="G49" s="223">
        <f t="shared" si="1"/>
        <v>177.09858815999999</v>
      </c>
      <c r="H49" s="223">
        <f t="shared" si="7"/>
        <v>177.09858815999999</v>
      </c>
      <c r="I49" s="152">
        <f t="shared" si="2"/>
        <v>15.99</v>
      </c>
      <c r="J49" s="224">
        <f t="shared" si="3"/>
        <v>4.6800000000000006</v>
      </c>
      <c r="K49" s="224">
        <f t="shared" si="4"/>
        <v>24.944400000000005</v>
      </c>
    </row>
    <row r="50" spans="1:11" x14ac:dyDescent="0.2">
      <c r="A50" s="600" t="s">
        <v>560</v>
      </c>
      <c r="B50" s="150">
        <f t="shared" si="5"/>
        <v>60</v>
      </c>
      <c r="C50" s="601">
        <v>12</v>
      </c>
      <c r="D50" s="618">
        <v>1.19</v>
      </c>
      <c r="E50" s="223">
        <f t="shared" si="6"/>
        <v>32.949862400000001</v>
      </c>
      <c r="F50" s="224">
        <f t="shared" si="8"/>
        <v>32.949862400000001</v>
      </c>
      <c r="G50" s="223">
        <f t="shared" si="1"/>
        <v>395.39834880000001</v>
      </c>
      <c r="H50" s="223">
        <f t="shared" si="7"/>
        <v>395.39834880000001</v>
      </c>
      <c r="I50" s="152">
        <f t="shared" si="2"/>
        <v>36</v>
      </c>
      <c r="J50" s="224">
        <f t="shared" si="3"/>
        <v>4.641</v>
      </c>
      <c r="K50" s="224">
        <f t="shared" si="4"/>
        <v>55.692</v>
      </c>
    </row>
    <row r="51" spans="1:11" x14ac:dyDescent="0.2">
      <c r="A51" s="600" t="s">
        <v>561</v>
      </c>
      <c r="B51" s="150">
        <f t="shared" si="5"/>
        <v>80</v>
      </c>
      <c r="C51" s="601">
        <v>16</v>
      </c>
      <c r="D51" s="618">
        <v>1.1200000000000001</v>
      </c>
      <c r="E51" s="223">
        <f t="shared" si="6"/>
        <v>31.011635200000004</v>
      </c>
      <c r="F51" s="224">
        <f t="shared" si="8"/>
        <v>31.011635200000004</v>
      </c>
      <c r="G51" s="223">
        <f t="shared" si="1"/>
        <v>496.18616320000007</v>
      </c>
      <c r="H51" s="223">
        <f t="shared" si="7"/>
        <v>496.18616320000007</v>
      </c>
      <c r="I51" s="152">
        <f t="shared" si="2"/>
        <v>48</v>
      </c>
      <c r="J51" s="224">
        <f t="shared" si="3"/>
        <v>4.3680000000000012</v>
      </c>
      <c r="K51" s="224">
        <f t="shared" si="4"/>
        <v>69.888000000000019</v>
      </c>
    </row>
    <row r="52" spans="1:11" x14ac:dyDescent="0.2">
      <c r="A52" s="600" t="s">
        <v>562</v>
      </c>
      <c r="B52" s="150">
        <f t="shared" si="5"/>
        <v>30</v>
      </c>
      <c r="C52" s="601">
        <v>6</v>
      </c>
      <c r="D52" s="618">
        <v>1.23</v>
      </c>
      <c r="E52" s="223">
        <f t="shared" si="6"/>
        <v>34.057420800000003</v>
      </c>
      <c r="F52" s="224">
        <f t="shared" si="8"/>
        <v>34.057420800000003</v>
      </c>
      <c r="G52" s="223">
        <f t="shared" si="1"/>
        <v>204.34452480000002</v>
      </c>
      <c r="H52" s="223">
        <f t="shared" si="7"/>
        <v>204.34452480000002</v>
      </c>
      <c r="I52" s="152">
        <f t="shared" si="2"/>
        <v>18</v>
      </c>
      <c r="J52" s="224">
        <f t="shared" si="3"/>
        <v>4.7970000000000006</v>
      </c>
      <c r="K52" s="224">
        <f t="shared" si="4"/>
        <v>28.782000000000004</v>
      </c>
    </row>
    <row r="53" spans="1:11" x14ac:dyDescent="0.2">
      <c r="A53" s="600" t="s">
        <v>185</v>
      </c>
      <c r="B53" s="150">
        <v>87</v>
      </c>
      <c r="C53" s="601">
        <v>10.5</v>
      </c>
      <c r="D53" s="618">
        <v>1.2</v>
      </c>
      <c r="E53" s="223">
        <f t="shared" si="6"/>
        <v>33.226751999999998</v>
      </c>
      <c r="F53" s="224">
        <f t="shared" si="8"/>
        <v>33.226751999999998</v>
      </c>
      <c r="G53" s="223">
        <f t="shared" si="1"/>
        <v>348.88089599999995</v>
      </c>
      <c r="H53" s="223">
        <f t="shared" si="7"/>
        <v>348.88089599999995</v>
      </c>
      <c r="I53" s="152">
        <f t="shared" si="2"/>
        <v>31.5</v>
      </c>
      <c r="J53" s="224">
        <f t="shared" si="3"/>
        <v>4.6800000000000006</v>
      </c>
      <c r="K53" s="224">
        <f t="shared" si="4"/>
        <v>49.140000000000008</v>
      </c>
    </row>
    <row r="54" spans="1:11" x14ac:dyDescent="0.2">
      <c r="A54" s="600" t="s">
        <v>563</v>
      </c>
      <c r="B54" s="150">
        <v>60</v>
      </c>
      <c r="C54" s="601">
        <v>12</v>
      </c>
      <c r="D54" s="617">
        <v>1.2</v>
      </c>
      <c r="E54" s="223">
        <f t="shared" si="6"/>
        <v>33.226751999999998</v>
      </c>
      <c r="F54" s="224">
        <f t="shared" si="8"/>
        <v>33.226751999999998</v>
      </c>
      <c r="G54" s="223">
        <f t="shared" si="1"/>
        <v>398.72102399999994</v>
      </c>
      <c r="H54" s="223">
        <f t="shared" si="7"/>
        <v>398.72102399999994</v>
      </c>
      <c r="I54" s="152">
        <f t="shared" si="2"/>
        <v>36</v>
      </c>
      <c r="J54" s="224">
        <f t="shared" si="3"/>
        <v>4.6800000000000006</v>
      </c>
      <c r="K54" s="224">
        <f t="shared" si="4"/>
        <v>56.160000000000011</v>
      </c>
    </row>
    <row r="55" spans="1:11" x14ac:dyDescent="0.2">
      <c r="A55" s="597" t="s">
        <v>187</v>
      </c>
      <c r="B55" s="150">
        <v>106</v>
      </c>
      <c r="C55" s="601">
        <v>21.33</v>
      </c>
      <c r="D55" s="618">
        <v>1.2</v>
      </c>
      <c r="E55" s="223">
        <f t="shared" si="6"/>
        <v>33.226751999999998</v>
      </c>
      <c r="F55" s="224">
        <f t="shared" si="8"/>
        <v>33.226751999999998</v>
      </c>
      <c r="G55" s="223">
        <f t="shared" si="1"/>
        <v>708.72662015999992</v>
      </c>
      <c r="H55" s="223">
        <f t="shared" si="7"/>
        <v>708.72662015999992</v>
      </c>
      <c r="I55" s="152">
        <f t="shared" si="2"/>
        <v>63.989999999999995</v>
      </c>
      <c r="J55" s="224">
        <f t="shared" si="3"/>
        <v>4.6800000000000006</v>
      </c>
      <c r="K55" s="224">
        <f t="shared" si="4"/>
        <v>99.824400000000011</v>
      </c>
    </row>
    <row r="57" spans="1:11" ht="25.5" x14ac:dyDescent="0.2">
      <c r="A57" s="194" t="s">
        <v>265</v>
      </c>
      <c r="B57" s="541"/>
      <c r="C57" s="167" t="s">
        <v>447</v>
      </c>
      <c r="E57" s="167" t="s">
        <v>266</v>
      </c>
      <c r="F57" s="167" t="s">
        <v>210</v>
      </c>
      <c r="G57" s="167" t="s">
        <v>531</v>
      </c>
    </row>
    <row r="58" spans="1:11" x14ac:dyDescent="0.2">
      <c r="A58" s="189" t="s">
        <v>502</v>
      </c>
      <c r="B58" s="740"/>
      <c r="C58" s="185">
        <v>36</v>
      </c>
      <c r="E58" s="189" t="s">
        <v>502</v>
      </c>
      <c r="F58" s="189">
        <v>36</v>
      </c>
      <c r="G58" s="189">
        <v>58</v>
      </c>
    </row>
    <row r="59" spans="1:11" x14ac:dyDescent="0.2">
      <c r="A59" s="185" t="s">
        <v>503</v>
      </c>
      <c r="B59" s="740"/>
      <c r="C59" s="185">
        <v>50</v>
      </c>
      <c r="E59" s="189" t="s">
        <v>503</v>
      </c>
      <c r="F59" s="189">
        <v>50</v>
      </c>
      <c r="G59" s="189">
        <v>65</v>
      </c>
    </row>
    <row r="60" spans="1:11" x14ac:dyDescent="0.2">
      <c r="A60" s="141" t="s">
        <v>501</v>
      </c>
      <c r="B60" s="740"/>
      <c r="C60" s="185">
        <v>36</v>
      </c>
      <c r="E60" s="185" t="s">
        <v>501</v>
      </c>
      <c r="F60" s="189">
        <v>36</v>
      </c>
      <c r="G60" s="189">
        <v>58</v>
      </c>
    </row>
    <row r="61" spans="1:11" x14ac:dyDescent="0.2">
      <c r="A61" s="190" t="s">
        <v>504</v>
      </c>
      <c r="B61" s="740"/>
      <c r="C61" s="185">
        <v>35</v>
      </c>
      <c r="E61" s="141" t="s">
        <v>505</v>
      </c>
      <c r="F61" s="189">
        <v>50</v>
      </c>
      <c r="G61" s="189">
        <v>65</v>
      </c>
    </row>
    <row r="62" spans="1:11" x14ac:dyDescent="0.2">
      <c r="A62" s="190" t="s">
        <v>505</v>
      </c>
      <c r="B62" s="740"/>
      <c r="C62" s="185">
        <v>50</v>
      </c>
      <c r="E62" s="190" t="s">
        <v>202</v>
      </c>
      <c r="F62" s="189" t="s">
        <v>160</v>
      </c>
      <c r="G62" s="189" t="s">
        <v>160</v>
      </c>
    </row>
    <row r="63" spans="1:11" x14ac:dyDescent="0.2">
      <c r="A63" s="190" t="s">
        <v>506</v>
      </c>
      <c r="B63" s="740"/>
      <c r="C63" s="185">
        <f>IF(Input!$D$64="Round",33,39)</f>
        <v>39</v>
      </c>
    </row>
    <row r="64" spans="1:11" x14ac:dyDescent="0.2">
      <c r="A64" s="190" t="s">
        <v>507</v>
      </c>
      <c r="B64" s="740"/>
      <c r="C64" s="185">
        <f>IF(Input!$D$64="Round",42,46)</f>
        <v>46</v>
      </c>
    </row>
    <row r="65" spans="1:10" x14ac:dyDescent="0.2">
      <c r="A65" s="190" t="s">
        <v>508</v>
      </c>
      <c r="B65" s="740"/>
      <c r="C65" s="185">
        <f>IF(Input!$D$64="Round",46,50)</f>
        <v>50</v>
      </c>
    </row>
    <row r="66" spans="1:10" x14ac:dyDescent="0.2">
      <c r="A66" s="190" t="s">
        <v>509</v>
      </c>
      <c r="B66" s="740"/>
      <c r="C66" s="185">
        <v>36</v>
      </c>
    </row>
    <row r="67" spans="1:10" x14ac:dyDescent="0.2">
      <c r="A67" s="190" t="s">
        <v>510</v>
      </c>
      <c r="B67" s="740"/>
      <c r="C67" s="185">
        <v>55</v>
      </c>
    </row>
    <row r="68" spans="1:10" x14ac:dyDescent="0.2">
      <c r="A68" s="190" t="s">
        <v>202</v>
      </c>
      <c r="B68" s="740"/>
      <c r="C68" s="185" t="s">
        <v>160</v>
      </c>
    </row>
    <row r="70" spans="1:10" ht="14.25" x14ac:dyDescent="0.2">
      <c r="A70" s="167" t="s">
        <v>242</v>
      </c>
      <c r="B70" s="167" t="s">
        <v>210</v>
      </c>
    </row>
    <row r="71" spans="1:10" x14ac:dyDescent="0.2">
      <c r="A71" s="152" t="s">
        <v>511</v>
      </c>
      <c r="B71" s="152">
        <v>55</v>
      </c>
    </row>
    <row r="73" spans="1:10" ht="63.75" x14ac:dyDescent="0.2">
      <c r="A73" s="167" t="s">
        <v>275</v>
      </c>
      <c r="B73" s="167" t="s">
        <v>276</v>
      </c>
      <c r="C73" s="541"/>
      <c r="D73" s="541"/>
      <c r="E73" s="167" t="s">
        <v>524</v>
      </c>
      <c r="F73" s="167" t="s">
        <v>284</v>
      </c>
      <c r="G73" s="167" t="s">
        <v>280</v>
      </c>
      <c r="H73" s="167" t="s">
        <v>286</v>
      </c>
      <c r="I73" s="167" t="s">
        <v>353</v>
      </c>
      <c r="J73" s="331"/>
    </row>
    <row r="74" spans="1:10" x14ac:dyDescent="0.2">
      <c r="A74" s="138" t="s">
        <v>217</v>
      </c>
      <c r="B74" s="152" t="s">
        <v>160</v>
      </c>
      <c r="C74" s="542">
        <v>3.14</v>
      </c>
      <c r="D74" s="542">
        <v>3.14</v>
      </c>
      <c r="E74" s="138">
        <v>6.28</v>
      </c>
      <c r="F74" s="138">
        <v>0.70699999999999996</v>
      </c>
      <c r="G74" s="138">
        <v>3.14</v>
      </c>
      <c r="H74" s="185">
        <v>2</v>
      </c>
      <c r="I74" s="185">
        <v>6.28</v>
      </c>
    </row>
    <row r="75" spans="1:10" x14ac:dyDescent="0.2">
      <c r="A75" s="138" t="s">
        <v>220</v>
      </c>
      <c r="B75" s="152">
        <v>16</v>
      </c>
      <c r="C75" s="542">
        <v>3.22</v>
      </c>
      <c r="D75" s="542">
        <v>3.22</v>
      </c>
      <c r="E75" s="138">
        <v>6.37</v>
      </c>
      <c r="F75" s="138">
        <v>0.71099999999999997</v>
      </c>
      <c r="G75" s="138">
        <v>3.22</v>
      </c>
      <c r="H75" s="185">
        <v>2.02</v>
      </c>
      <c r="I75" s="185">
        <v>6.37</v>
      </c>
    </row>
    <row r="76" spans="1:10" x14ac:dyDescent="0.2">
      <c r="A76" s="138" t="s">
        <v>218</v>
      </c>
      <c r="B76" s="152">
        <v>12</v>
      </c>
      <c r="C76" s="542">
        <v>3.29</v>
      </c>
      <c r="D76" s="542">
        <v>3.29</v>
      </c>
      <c r="E76" s="138">
        <v>6.43</v>
      </c>
      <c r="F76" s="138">
        <v>0.71499999999999997</v>
      </c>
      <c r="G76" s="138">
        <v>3.29</v>
      </c>
      <c r="H76" s="185">
        <v>2.0249999999999999</v>
      </c>
      <c r="I76" s="185">
        <v>6.43</v>
      </c>
    </row>
    <row r="77" spans="1:10" x14ac:dyDescent="0.2">
      <c r="A77" s="138" t="s">
        <v>219</v>
      </c>
      <c r="B77" s="152">
        <v>8</v>
      </c>
      <c r="C77" s="542">
        <v>3.5</v>
      </c>
      <c r="D77" s="542">
        <v>3.5</v>
      </c>
      <c r="E77" s="138">
        <v>6.63</v>
      </c>
      <c r="F77" s="138">
        <v>0.72699999999999998</v>
      </c>
      <c r="G77" s="138">
        <v>3.5</v>
      </c>
      <c r="H77" s="185">
        <v>2.0499999999999998</v>
      </c>
      <c r="I77" s="185">
        <v>6.63</v>
      </c>
    </row>
    <row r="78" spans="1:10" x14ac:dyDescent="0.2">
      <c r="A78" s="138" t="s">
        <v>221</v>
      </c>
      <c r="B78" s="152">
        <v>4</v>
      </c>
      <c r="C78" s="542">
        <v>5.33</v>
      </c>
      <c r="D78" s="542">
        <v>5.33</v>
      </c>
      <c r="E78" s="138">
        <v>8</v>
      </c>
      <c r="F78" s="138">
        <v>0.81599999999999995</v>
      </c>
      <c r="G78" s="138">
        <v>5.33</v>
      </c>
      <c r="H78" s="185">
        <v>2.25</v>
      </c>
      <c r="I78" s="185">
        <v>8</v>
      </c>
    </row>
    <row r="80" spans="1:10" ht="25.5" x14ac:dyDescent="0.2">
      <c r="A80" s="220" t="s">
        <v>304</v>
      </c>
      <c r="B80" s="167" t="s">
        <v>295</v>
      </c>
    </row>
    <row r="81" spans="1:5" x14ac:dyDescent="0.2">
      <c r="A81" s="152" t="s">
        <v>50</v>
      </c>
      <c r="B81" s="152">
        <v>24</v>
      </c>
    </row>
    <row r="82" spans="1:5" x14ac:dyDescent="0.2">
      <c r="A82" s="152" t="s">
        <v>223</v>
      </c>
      <c r="B82" s="152">
        <v>16</v>
      </c>
    </row>
    <row r="83" spans="1:5" x14ac:dyDescent="0.2">
      <c r="A83" s="152" t="s">
        <v>224</v>
      </c>
      <c r="B83" s="152">
        <v>12</v>
      </c>
      <c r="C83" s="200"/>
    </row>
    <row r="84" spans="1:5" x14ac:dyDescent="0.2">
      <c r="A84" s="152" t="s">
        <v>41</v>
      </c>
      <c r="B84" s="152">
        <v>10</v>
      </c>
      <c r="C84" s="192"/>
    </row>
    <row r="85" spans="1:5" x14ac:dyDescent="0.2">
      <c r="A85" s="152" t="s">
        <v>225</v>
      </c>
      <c r="B85" s="152">
        <v>7</v>
      </c>
      <c r="C85" s="192"/>
    </row>
    <row r="86" spans="1:5" x14ac:dyDescent="0.2">
      <c r="A86" s="152" t="s">
        <v>226</v>
      </c>
      <c r="B86" s="152">
        <v>4.5</v>
      </c>
      <c r="C86" s="192"/>
    </row>
    <row r="87" spans="1:5" x14ac:dyDescent="0.2">
      <c r="A87" s="152" t="s">
        <v>227</v>
      </c>
      <c r="B87" s="152">
        <v>2.6</v>
      </c>
      <c r="C87" s="192"/>
    </row>
    <row r="88" spans="1:5" x14ac:dyDescent="0.2">
      <c r="A88" s="152" t="s">
        <v>228</v>
      </c>
      <c r="B88" s="152">
        <v>1.2</v>
      </c>
      <c r="C88" s="192"/>
    </row>
    <row r="89" spans="1:5" ht="15.75" x14ac:dyDescent="0.2">
      <c r="A89" s="152" t="s">
        <v>229</v>
      </c>
      <c r="B89" s="152">
        <v>1</v>
      </c>
    </row>
    <row r="91" spans="1:5" ht="13.5" thickBot="1" x14ac:dyDescent="0.25">
      <c r="A91" s="222"/>
      <c r="B91" s="228"/>
    </row>
    <row r="92" spans="1:5" x14ac:dyDescent="0.2">
      <c r="A92" s="933" t="s">
        <v>641</v>
      </c>
      <c r="B92" s="934"/>
      <c r="C92" s="934"/>
      <c r="D92" s="934"/>
      <c r="E92" s="935"/>
    </row>
    <row r="93" spans="1:5" ht="14.25" x14ac:dyDescent="0.2">
      <c r="A93" s="521" t="s">
        <v>216</v>
      </c>
      <c r="B93" s="167" t="s">
        <v>300</v>
      </c>
      <c r="C93" s="247" t="s">
        <v>301</v>
      </c>
      <c r="D93" s="167" t="s">
        <v>302</v>
      </c>
      <c r="E93" s="522" t="s">
        <v>303</v>
      </c>
    </row>
    <row r="94" spans="1:5" x14ac:dyDescent="0.2">
      <c r="A94" s="523" t="s">
        <v>217</v>
      </c>
      <c r="B94" s="223">
        <v>1.1000000000000001</v>
      </c>
      <c r="C94" s="223">
        <f>100/B101^1.3</f>
        <v>1.078492476686937</v>
      </c>
      <c r="D94" s="223">
        <v>0.45</v>
      </c>
      <c r="E94" s="524">
        <f>IF($B$101&lt;=32,B94,IF($B$101&gt;=64,D94,C94))</f>
        <v>1.078492476686937</v>
      </c>
    </row>
    <row r="95" spans="1:5" x14ac:dyDescent="0.2">
      <c r="A95" s="130" t="s">
        <v>220</v>
      </c>
      <c r="B95" s="223">
        <v>1.1000000000000001</v>
      </c>
      <c r="C95" s="223">
        <f>IF(B105&lt;0.26,1.37+1.08*B105-B101/119-B101*B105/29.7,0.55+(64-B101)/58.18)</f>
        <v>1.093036223532003</v>
      </c>
      <c r="D95" s="223">
        <f>IF(B105&lt;0.26,0.83-1.08*B105,0.55)</f>
        <v>0.64548974943052384</v>
      </c>
      <c r="E95" s="524">
        <f>IF($B$101&lt;=32,B95,IF($B$101&gt;=64,D95,C95))</f>
        <v>1.093036223532003</v>
      </c>
    </row>
    <row r="96" spans="1:5" x14ac:dyDescent="0.2">
      <c r="A96" s="130" t="s">
        <v>218</v>
      </c>
      <c r="B96" s="223">
        <v>1.2</v>
      </c>
      <c r="C96" s="223">
        <f>9.62/B101^0.6</f>
        <v>1.1891715540961443</v>
      </c>
      <c r="D96" s="223">
        <v>0.79</v>
      </c>
      <c r="E96" s="524">
        <f>IF($B$101&lt;=32,B96,IF($B$101&gt;=64,D96,C96))</f>
        <v>1.1891715540961443</v>
      </c>
    </row>
    <row r="97" spans="1:5" x14ac:dyDescent="0.2">
      <c r="A97" s="130" t="s">
        <v>219</v>
      </c>
      <c r="B97" s="223">
        <v>1.2</v>
      </c>
      <c r="C97" s="223">
        <v>1.2</v>
      </c>
      <c r="D97" s="223">
        <v>1.2</v>
      </c>
      <c r="E97" s="524">
        <f>IF($B$101&lt;=32,B97,IF($B$101&gt;=64,D97,C97))</f>
        <v>1.2</v>
      </c>
    </row>
    <row r="98" spans="1:5" x14ac:dyDescent="0.2">
      <c r="A98" s="130" t="s">
        <v>221</v>
      </c>
      <c r="B98" s="223">
        <f>IF($B$106&lt;0.125,2-6*$B$106,1.25)</f>
        <v>1.5398773006134969</v>
      </c>
      <c r="C98" s="223">
        <f>IF($B$106&lt;0.125,2-6*$B$106,1.25)</f>
        <v>1.5398773006134969</v>
      </c>
      <c r="D98" s="223">
        <f>IF($B$106&lt;0.125,2-6*$B$106,1.25)</f>
        <v>1.5398773006134969</v>
      </c>
      <c r="E98" s="524">
        <f>IF($B$101&lt;=32,B98,IF($B$101&gt;=64,D98,C98))</f>
        <v>1.5398773006134969</v>
      </c>
    </row>
    <row r="99" spans="1:5" x14ac:dyDescent="0.2">
      <c r="A99" s="525"/>
      <c r="B99" s="227"/>
      <c r="C99" s="227"/>
      <c r="D99" s="227"/>
      <c r="E99" s="526"/>
    </row>
    <row r="100" spans="1:5" x14ac:dyDescent="0.2">
      <c r="A100" s="525"/>
      <c r="B100" s="227"/>
      <c r="C100" s="227"/>
      <c r="D100" s="227"/>
      <c r="E100" s="526"/>
    </row>
    <row r="101" spans="1:5" ht="15.75" x14ac:dyDescent="0.2">
      <c r="A101" s="527" t="s">
        <v>66</v>
      </c>
      <c r="B101" s="224">
        <f>Post!B75</f>
        <v>32.6</v>
      </c>
      <c r="C101" s="227"/>
      <c r="D101" s="227"/>
      <c r="E101" s="526"/>
    </row>
    <row r="102" spans="1:5" ht="15.75" x14ac:dyDescent="0.2">
      <c r="A102" s="527" t="s">
        <v>298</v>
      </c>
      <c r="B102" s="224">
        <v>0.375</v>
      </c>
      <c r="C102" s="316" t="s">
        <v>452</v>
      </c>
      <c r="D102" s="227"/>
      <c r="E102" s="526"/>
    </row>
    <row r="103" spans="1:5" x14ac:dyDescent="0.2">
      <c r="A103" s="527" t="s">
        <v>297</v>
      </c>
      <c r="B103" s="224">
        <f>(Post!B22-2*Post!B24)/2</f>
        <v>2.1949999999999998</v>
      </c>
      <c r="C103" s="227" t="s">
        <v>1</v>
      </c>
      <c r="D103" s="227"/>
      <c r="E103" s="526"/>
    </row>
    <row r="104" spans="1:5" x14ac:dyDescent="0.2">
      <c r="A104" s="527" t="s">
        <v>273</v>
      </c>
      <c r="B104" s="224">
        <f>Post!B22</f>
        <v>4.8899999999999997</v>
      </c>
      <c r="C104" s="316" t="s">
        <v>453</v>
      </c>
      <c r="D104" s="227"/>
      <c r="E104" s="526"/>
    </row>
    <row r="105" spans="1:5" x14ac:dyDescent="0.2">
      <c r="A105" s="527" t="s">
        <v>96</v>
      </c>
      <c r="B105" s="224">
        <f>B102/B103</f>
        <v>0.17084282460136677</v>
      </c>
      <c r="C105" s="316" t="s">
        <v>454</v>
      </c>
      <c r="D105" s="227"/>
      <c r="E105" s="526"/>
    </row>
    <row r="106" spans="1:5" ht="13.5" thickBot="1" x14ac:dyDescent="0.25">
      <c r="A106" s="528" t="s">
        <v>299</v>
      </c>
      <c r="B106" s="505">
        <f>B102/B104</f>
        <v>7.6687116564417179E-2</v>
      </c>
      <c r="C106" s="323" t="s">
        <v>455</v>
      </c>
      <c r="D106" s="529"/>
      <c r="E106" s="530"/>
    </row>
    <row r="107" spans="1:5" x14ac:dyDescent="0.2">
      <c r="A107" s="222"/>
      <c r="B107" s="228"/>
    </row>
    <row r="108" spans="1:5" x14ac:dyDescent="0.2">
      <c r="A108" s="200"/>
      <c r="B108" s="225"/>
      <c r="C108" s="226"/>
      <c r="D108" s="226"/>
      <c r="E108" s="226"/>
    </row>
    <row r="109" spans="1:5" x14ac:dyDescent="0.2">
      <c r="A109" s="903" t="s">
        <v>307</v>
      </c>
      <c r="B109" s="903"/>
      <c r="C109" s="903"/>
      <c r="D109" s="226"/>
      <c r="E109" s="226"/>
    </row>
    <row r="110" spans="1:5" ht="25.5" x14ac:dyDescent="0.2">
      <c r="A110" s="913" t="s">
        <v>419</v>
      </c>
      <c r="B110" s="913"/>
      <c r="C110" s="223" t="s">
        <v>310</v>
      </c>
      <c r="D110" s="226"/>
      <c r="E110" s="226"/>
    </row>
    <row r="111" spans="1:5" x14ac:dyDescent="0.2">
      <c r="A111" s="138">
        <v>0</v>
      </c>
      <c r="B111" s="152" t="s">
        <v>312</v>
      </c>
      <c r="C111" s="223">
        <v>1</v>
      </c>
      <c r="D111" s="226"/>
      <c r="E111" s="226"/>
    </row>
    <row r="112" spans="1:5" x14ac:dyDescent="0.2">
      <c r="A112" s="138" t="s">
        <v>311</v>
      </c>
      <c r="B112" s="152">
        <v>13</v>
      </c>
      <c r="C112" s="223">
        <v>2</v>
      </c>
      <c r="D112" s="226"/>
      <c r="E112" s="226"/>
    </row>
    <row r="113" spans="1:15" x14ac:dyDescent="0.2">
      <c r="A113" s="138" t="s">
        <v>308</v>
      </c>
      <c r="B113" s="152" t="s">
        <v>545</v>
      </c>
      <c r="C113" s="223">
        <v>2.5</v>
      </c>
      <c r="D113" s="226"/>
      <c r="E113" s="226"/>
    </row>
    <row r="114" spans="1:15" x14ac:dyDescent="0.2">
      <c r="A114" s="921" t="s">
        <v>309</v>
      </c>
      <c r="B114" s="921"/>
      <c r="C114" s="223">
        <v>3</v>
      </c>
      <c r="D114" s="227"/>
      <c r="E114" s="227"/>
    </row>
    <row r="115" spans="1:15" x14ac:dyDescent="0.2">
      <c r="A115" s="227"/>
      <c r="B115" s="227"/>
      <c r="C115" s="227"/>
      <c r="D115" s="227"/>
      <c r="E115" s="227"/>
    </row>
    <row r="116" spans="1:15" ht="13.5" thickBot="1" x14ac:dyDescent="0.25">
      <c r="A116" s="168"/>
      <c r="B116" s="228"/>
      <c r="C116" s="227"/>
      <c r="D116" s="227"/>
      <c r="E116" s="227"/>
    </row>
    <row r="117" spans="1:15" ht="12.75" customHeight="1" thickBot="1" x14ac:dyDescent="0.25">
      <c r="A117" s="918" t="s">
        <v>415</v>
      </c>
      <c r="B117" s="919"/>
      <c r="C117" s="919"/>
      <c r="D117" s="919"/>
      <c r="E117" s="919"/>
      <c r="F117" s="919"/>
      <c r="G117" s="919"/>
      <c r="H117" s="919"/>
      <c r="I117" s="919"/>
      <c r="J117" s="919"/>
      <c r="K117" s="919"/>
      <c r="L117" s="919"/>
      <c r="M117" s="920"/>
    </row>
    <row r="118" spans="1:15" ht="12.75" customHeight="1" thickBot="1" x14ac:dyDescent="0.25">
      <c r="A118" s="922" t="s">
        <v>608</v>
      </c>
      <c r="B118" s="916" t="s">
        <v>416</v>
      </c>
      <c r="C118" s="924" t="s">
        <v>612</v>
      </c>
      <c r="D118" s="925"/>
      <c r="E118" s="925"/>
      <c r="F118" s="926"/>
      <c r="G118" s="927" t="s">
        <v>613</v>
      </c>
      <c r="H118" s="928"/>
      <c r="I118" s="928"/>
      <c r="J118" s="929"/>
      <c r="K118" s="927" t="s">
        <v>614</v>
      </c>
      <c r="L118" s="928"/>
      <c r="M118" s="928"/>
      <c r="N118" s="929"/>
      <c r="O118" s="227"/>
    </row>
    <row r="119" spans="1:15" ht="51.75" thickBot="1" x14ac:dyDescent="0.25">
      <c r="A119" s="923"/>
      <c r="B119" s="917"/>
      <c r="C119" s="645" t="s">
        <v>616</v>
      </c>
      <c r="D119" s="646" t="s">
        <v>615</v>
      </c>
      <c r="E119" s="646" t="s">
        <v>617</v>
      </c>
      <c r="F119" s="647" t="s">
        <v>611</v>
      </c>
      <c r="G119" s="642" t="s">
        <v>618</v>
      </c>
      <c r="H119" s="643" t="s">
        <v>615</v>
      </c>
      <c r="I119" s="643" t="s">
        <v>417</v>
      </c>
      <c r="J119" s="644" t="s">
        <v>418</v>
      </c>
      <c r="K119" s="663" t="s">
        <v>619</v>
      </c>
      <c r="L119" s="662" t="s">
        <v>433</v>
      </c>
      <c r="M119" s="664" t="s">
        <v>417</v>
      </c>
      <c r="N119" s="665" t="s">
        <v>418</v>
      </c>
      <c r="O119" s="651"/>
    </row>
    <row r="120" spans="1:15" x14ac:dyDescent="0.2">
      <c r="A120" s="670">
        <v>1000</v>
      </c>
      <c r="B120" s="668">
        <v>6</v>
      </c>
      <c r="C120" s="656">
        <v>1.75</v>
      </c>
      <c r="D120" s="657">
        <v>3.1875</v>
      </c>
      <c r="E120" s="657">
        <v>18</v>
      </c>
      <c r="F120" s="658">
        <v>2</v>
      </c>
      <c r="G120" s="659">
        <v>2</v>
      </c>
      <c r="H120" s="660">
        <v>3.625</v>
      </c>
      <c r="I120" s="660">
        <v>18</v>
      </c>
      <c r="J120" s="661">
        <v>2.25</v>
      </c>
      <c r="K120" s="659">
        <v>2</v>
      </c>
      <c r="L120" s="660">
        <v>3.625</v>
      </c>
      <c r="M120" s="660">
        <v>18</v>
      </c>
      <c r="N120" s="661">
        <v>2.25</v>
      </c>
      <c r="O120" s="225"/>
    </row>
    <row r="121" spans="1:15" x14ac:dyDescent="0.2">
      <c r="A121" s="669">
        <v>2000</v>
      </c>
      <c r="B121" s="666">
        <v>6</v>
      </c>
      <c r="C121" s="523">
        <v>1.75</v>
      </c>
      <c r="D121" s="152">
        <v>3.1875</v>
      </c>
      <c r="E121" s="152">
        <v>18</v>
      </c>
      <c r="F121" s="652">
        <v>2</v>
      </c>
      <c r="G121" s="523">
        <v>2</v>
      </c>
      <c r="H121" s="152">
        <v>3.625</v>
      </c>
      <c r="I121" s="152">
        <v>18</v>
      </c>
      <c r="J121" s="652">
        <v>2.25</v>
      </c>
      <c r="K121" s="523">
        <v>2</v>
      </c>
      <c r="L121" s="152">
        <v>3.625</v>
      </c>
      <c r="M121" s="152">
        <v>18</v>
      </c>
      <c r="N121" s="652">
        <v>2.25</v>
      </c>
      <c r="O121" s="225"/>
    </row>
    <row r="122" spans="1:15" x14ac:dyDescent="0.2">
      <c r="A122" s="666">
        <v>3000</v>
      </c>
      <c r="B122" s="666">
        <v>6</v>
      </c>
      <c r="C122" s="523">
        <v>1.75</v>
      </c>
      <c r="D122" s="152">
        <v>3.1875</v>
      </c>
      <c r="E122" s="152">
        <v>18</v>
      </c>
      <c r="F122" s="652">
        <v>2</v>
      </c>
      <c r="G122" s="523">
        <v>2</v>
      </c>
      <c r="H122" s="152">
        <v>3.625</v>
      </c>
      <c r="I122" s="152">
        <v>18</v>
      </c>
      <c r="J122" s="652">
        <v>2.25</v>
      </c>
      <c r="K122" s="523">
        <v>2</v>
      </c>
      <c r="L122" s="152">
        <v>3.625</v>
      </c>
      <c r="M122" s="152">
        <v>18</v>
      </c>
      <c r="N122" s="652">
        <v>2.25</v>
      </c>
      <c r="O122" s="225"/>
    </row>
    <row r="123" spans="1:15" x14ac:dyDescent="0.2">
      <c r="A123" s="666">
        <v>4000</v>
      </c>
      <c r="B123" s="666">
        <v>6</v>
      </c>
      <c r="C123" s="523">
        <v>1.75</v>
      </c>
      <c r="D123" s="152">
        <v>3.1875</v>
      </c>
      <c r="E123" s="152">
        <v>18</v>
      </c>
      <c r="F123" s="652">
        <v>2</v>
      </c>
      <c r="G123" s="523">
        <v>2</v>
      </c>
      <c r="H123" s="152">
        <v>3.625</v>
      </c>
      <c r="I123" s="152">
        <v>18</v>
      </c>
      <c r="J123" s="652">
        <v>2.25</v>
      </c>
      <c r="K123" s="523">
        <v>2</v>
      </c>
      <c r="L123" s="152">
        <v>3.625</v>
      </c>
      <c r="M123" s="152">
        <v>18</v>
      </c>
      <c r="N123" s="652">
        <v>2.25</v>
      </c>
      <c r="O123" s="225"/>
    </row>
    <row r="124" spans="1:15" x14ac:dyDescent="0.2">
      <c r="A124" s="666">
        <v>5000</v>
      </c>
      <c r="B124" s="666">
        <v>6</v>
      </c>
      <c r="C124" s="523">
        <v>1.75</v>
      </c>
      <c r="D124" s="152">
        <v>3.1875</v>
      </c>
      <c r="E124" s="152">
        <v>18</v>
      </c>
      <c r="F124" s="652">
        <v>2</v>
      </c>
      <c r="G124" s="523">
        <v>2</v>
      </c>
      <c r="H124" s="152">
        <v>3.625</v>
      </c>
      <c r="I124" s="152">
        <v>18</v>
      </c>
      <c r="J124" s="652">
        <v>2.25</v>
      </c>
      <c r="K124" s="523">
        <v>2</v>
      </c>
      <c r="L124" s="152">
        <v>3.625</v>
      </c>
      <c r="M124" s="152">
        <v>18</v>
      </c>
      <c r="N124" s="652">
        <v>2.25</v>
      </c>
      <c r="O124" s="225"/>
    </row>
    <row r="125" spans="1:15" x14ac:dyDescent="0.2">
      <c r="A125" s="666">
        <v>6000</v>
      </c>
      <c r="B125" s="666">
        <v>6</v>
      </c>
      <c r="C125" s="523">
        <v>2.25</v>
      </c>
      <c r="D125" s="152">
        <v>4.0625</v>
      </c>
      <c r="E125" s="152">
        <v>18</v>
      </c>
      <c r="F125" s="652">
        <v>2.5</v>
      </c>
      <c r="G125" s="523">
        <v>2.25</v>
      </c>
      <c r="H125" s="152">
        <v>4.0625</v>
      </c>
      <c r="I125" s="152">
        <v>21</v>
      </c>
      <c r="J125" s="652">
        <v>2.5</v>
      </c>
      <c r="K125" s="523">
        <v>2.25</v>
      </c>
      <c r="L125" s="152">
        <v>4.0625</v>
      </c>
      <c r="M125" s="152">
        <v>21</v>
      </c>
      <c r="N125" s="652">
        <v>2.5</v>
      </c>
      <c r="O125" s="225"/>
    </row>
    <row r="126" spans="1:15" x14ac:dyDescent="0.2">
      <c r="A126" s="666">
        <v>7000</v>
      </c>
      <c r="B126" s="666">
        <v>6</v>
      </c>
      <c r="C126" s="523">
        <v>2.25</v>
      </c>
      <c r="D126" s="152">
        <v>4.0625</v>
      </c>
      <c r="E126" s="152">
        <v>18</v>
      </c>
      <c r="F126" s="652">
        <v>2.5</v>
      </c>
      <c r="G126" s="523">
        <v>2.25</v>
      </c>
      <c r="H126" s="152">
        <v>4.0625</v>
      </c>
      <c r="I126" s="152">
        <v>21</v>
      </c>
      <c r="J126" s="652">
        <v>2.5</v>
      </c>
      <c r="K126" s="523">
        <v>2.25</v>
      </c>
      <c r="L126" s="152">
        <v>4.0625</v>
      </c>
      <c r="M126" s="152">
        <v>21</v>
      </c>
      <c r="N126" s="652">
        <v>2.5</v>
      </c>
      <c r="O126" s="225"/>
    </row>
    <row r="127" spans="1:15" x14ac:dyDescent="0.2">
      <c r="A127" s="666">
        <v>8000</v>
      </c>
      <c r="B127" s="666">
        <v>6</v>
      </c>
      <c r="C127" s="523">
        <v>2.25</v>
      </c>
      <c r="D127" s="152">
        <v>4.0625</v>
      </c>
      <c r="E127" s="152">
        <v>18</v>
      </c>
      <c r="F127" s="652">
        <v>2.5</v>
      </c>
      <c r="G127" s="523">
        <v>2.25</v>
      </c>
      <c r="H127" s="152">
        <v>4.0625</v>
      </c>
      <c r="I127" s="152">
        <v>21</v>
      </c>
      <c r="J127" s="652">
        <v>2.5</v>
      </c>
      <c r="K127" s="523">
        <v>2.25</v>
      </c>
      <c r="L127" s="152">
        <v>4.0625</v>
      </c>
      <c r="M127" s="152">
        <v>21</v>
      </c>
      <c r="N127" s="652">
        <v>2.5</v>
      </c>
      <c r="O127" s="225"/>
    </row>
    <row r="128" spans="1:15" x14ac:dyDescent="0.2">
      <c r="A128" s="666">
        <v>9000</v>
      </c>
      <c r="B128" s="666">
        <v>6</v>
      </c>
      <c r="C128" s="523">
        <v>2.25</v>
      </c>
      <c r="D128" s="152">
        <v>4.0625</v>
      </c>
      <c r="E128" s="152">
        <v>18</v>
      </c>
      <c r="F128" s="652">
        <v>2.5</v>
      </c>
      <c r="G128" s="523">
        <v>2.25</v>
      </c>
      <c r="H128" s="152">
        <v>4.0625</v>
      </c>
      <c r="I128" s="152">
        <v>21</v>
      </c>
      <c r="J128" s="652">
        <v>2.5</v>
      </c>
      <c r="K128" s="523">
        <v>2.5</v>
      </c>
      <c r="L128" s="152">
        <v>4.5</v>
      </c>
      <c r="M128" s="152">
        <v>21</v>
      </c>
      <c r="N128" s="652">
        <v>2.75</v>
      </c>
      <c r="O128" s="225"/>
    </row>
    <row r="129" spans="1:15" ht="13.5" thickBot="1" x14ac:dyDescent="0.25">
      <c r="A129" s="667">
        <v>10000</v>
      </c>
      <c r="B129" s="667">
        <v>6</v>
      </c>
      <c r="C129" s="653">
        <v>2.25</v>
      </c>
      <c r="D129" s="654">
        <v>4.0625</v>
      </c>
      <c r="E129" s="654">
        <v>18</v>
      </c>
      <c r="F129" s="655">
        <v>2.5</v>
      </c>
      <c r="G129" s="653">
        <v>2.25</v>
      </c>
      <c r="H129" s="654">
        <v>4.0625</v>
      </c>
      <c r="I129" s="654">
        <v>21</v>
      </c>
      <c r="J129" s="655">
        <v>2.5</v>
      </c>
      <c r="K129" s="653">
        <v>2.5</v>
      </c>
      <c r="L129" s="654">
        <v>4.5</v>
      </c>
      <c r="M129" s="654">
        <v>21</v>
      </c>
      <c r="N129" s="655">
        <v>2.75</v>
      </c>
      <c r="O129" s="225"/>
    </row>
    <row r="130" spans="1:15" x14ac:dyDescent="0.2">
      <c r="A130" s="225"/>
      <c r="B130" s="225"/>
      <c r="C130" s="227"/>
      <c r="D130" s="227"/>
      <c r="E130" s="227"/>
      <c r="F130" s="227"/>
      <c r="G130" s="227"/>
      <c r="H130" s="227"/>
      <c r="I130" s="227"/>
      <c r="J130" s="227"/>
      <c r="K130" s="227"/>
      <c r="L130" s="227"/>
      <c r="M130" s="227"/>
      <c r="N130" s="227"/>
      <c r="O130" s="227"/>
    </row>
    <row r="132" spans="1:15" x14ac:dyDescent="0.2">
      <c r="A132" s="932" t="s">
        <v>44</v>
      </c>
      <c r="B132" s="932"/>
      <c r="C132" s="932"/>
      <c r="D132" s="489"/>
      <c r="E132" s="489"/>
    </row>
    <row r="133" spans="1:15" ht="27" x14ac:dyDescent="0.2">
      <c r="A133" s="491" t="s">
        <v>427</v>
      </c>
      <c r="B133" s="491" t="s">
        <v>428</v>
      </c>
      <c r="C133" s="492" t="s">
        <v>429</v>
      </c>
    </row>
    <row r="134" spans="1:15" x14ac:dyDescent="0.2">
      <c r="A134" s="493">
        <v>1</v>
      </c>
      <c r="B134" s="490">
        <f t="shared" ref="B134:B147" si="9">+PI()/4*(A134-0.9743/C134)^2</f>
        <v>0.605743984582786</v>
      </c>
      <c r="C134" s="353">
        <v>8</v>
      </c>
    </row>
    <row r="135" spans="1:15" x14ac:dyDescent="0.2">
      <c r="A135" s="493">
        <v>1.25</v>
      </c>
      <c r="B135" s="490">
        <f t="shared" si="9"/>
        <v>0.96910937336901126</v>
      </c>
      <c r="C135" s="353">
        <v>7</v>
      </c>
    </row>
    <row r="136" spans="1:15" x14ac:dyDescent="0.2">
      <c r="A136" s="493">
        <v>1.375</v>
      </c>
      <c r="B136" s="490">
        <f t="shared" si="9"/>
        <v>1.1548802315778162</v>
      </c>
      <c r="C136" s="353">
        <v>6</v>
      </c>
      <c r="E136" s="61"/>
      <c r="F136" s="61"/>
      <c r="G136" s="494"/>
      <c r="H136" s="37"/>
    </row>
    <row r="137" spans="1:15" x14ac:dyDescent="0.2">
      <c r="A137" s="493">
        <v>1.5</v>
      </c>
      <c r="B137" s="490">
        <f t="shared" si="9"/>
        <v>1.4052488036071851</v>
      </c>
      <c r="C137" s="353">
        <v>6</v>
      </c>
      <c r="E137" s="61"/>
      <c r="F137" s="61"/>
      <c r="G137" s="494"/>
      <c r="H137" s="37"/>
    </row>
    <row r="138" spans="1:15" x14ac:dyDescent="0.2">
      <c r="A138" s="493">
        <v>1.75</v>
      </c>
      <c r="B138" s="490">
        <f t="shared" si="9"/>
        <v>1.8994543718032619</v>
      </c>
      <c r="C138" s="353">
        <v>5</v>
      </c>
      <c r="E138" s="61"/>
      <c r="F138" s="61"/>
      <c r="G138" s="494"/>
      <c r="H138" s="37"/>
    </row>
    <row r="139" spans="1:15" x14ac:dyDescent="0.2">
      <c r="A139" s="493">
        <v>2</v>
      </c>
      <c r="B139" s="490">
        <f t="shared" si="9"/>
        <v>2.4982200953016624</v>
      </c>
      <c r="C139" s="353">
        <v>4.5</v>
      </c>
      <c r="E139" s="94"/>
      <c r="F139" s="95"/>
      <c r="G139" s="61"/>
      <c r="H139" s="3"/>
    </row>
    <row r="140" spans="1:15" x14ac:dyDescent="0.2">
      <c r="A140" s="493">
        <v>2.25</v>
      </c>
      <c r="B140" s="490">
        <f t="shared" si="9"/>
        <v>3.2476819294005472</v>
      </c>
      <c r="C140" s="353">
        <v>4.5</v>
      </c>
      <c r="E140" s="94"/>
      <c r="F140" s="95"/>
      <c r="G140" s="61"/>
      <c r="H140" s="3"/>
    </row>
    <row r="141" spans="1:15" x14ac:dyDescent="0.2">
      <c r="A141" s="493">
        <v>2.5</v>
      </c>
      <c r="B141" s="490">
        <f t="shared" si="9"/>
        <v>3.9988184483258702</v>
      </c>
      <c r="C141" s="353">
        <v>4</v>
      </c>
      <c r="E141" s="94"/>
      <c r="F141" s="95"/>
      <c r="G141" s="61"/>
      <c r="H141" s="3"/>
    </row>
    <row r="142" spans="1:15" x14ac:dyDescent="0.2">
      <c r="A142" s="493">
        <v>2.75</v>
      </c>
      <c r="B142" s="490">
        <f t="shared" si="9"/>
        <v>4.9340018589602543</v>
      </c>
      <c r="C142" s="353">
        <v>4</v>
      </c>
      <c r="E142" s="94"/>
      <c r="F142" s="95"/>
      <c r="G142" s="61"/>
      <c r="H142" s="3"/>
    </row>
    <row r="143" spans="1:15" x14ac:dyDescent="0.2">
      <c r="A143" s="493">
        <v>3</v>
      </c>
      <c r="B143" s="490">
        <f t="shared" si="9"/>
        <v>5.9673600400193196</v>
      </c>
      <c r="C143" s="353">
        <v>4</v>
      </c>
      <c r="E143" s="94"/>
      <c r="F143" s="95"/>
      <c r="G143" s="61"/>
      <c r="H143" s="3"/>
    </row>
    <row r="144" spans="1:15" x14ac:dyDescent="0.2">
      <c r="A144" s="493">
        <v>3.25</v>
      </c>
      <c r="B144" s="490">
        <f t="shared" si="9"/>
        <v>7.0988929915030656</v>
      </c>
      <c r="C144" s="353">
        <v>4</v>
      </c>
      <c r="E144" s="94"/>
      <c r="F144" s="95"/>
      <c r="G144" s="61"/>
      <c r="H144" s="3"/>
    </row>
    <row r="145" spans="1:8" x14ac:dyDescent="0.2">
      <c r="A145" s="493">
        <v>3.5</v>
      </c>
      <c r="B145" s="490">
        <f t="shared" si="9"/>
        <v>8.3286007134114932</v>
      </c>
      <c r="C145" s="353">
        <v>4</v>
      </c>
      <c r="E145" s="94"/>
      <c r="F145" s="95"/>
      <c r="G145" s="61"/>
      <c r="H145" s="3"/>
    </row>
    <row r="146" spans="1:8" x14ac:dyDescent="0.2">
      <c r="A146" s="493">
        <v>3.75</v>
      </c>
      <c r="B146" s="490">
        <f t="shared" si="9"/>
        <v>9.6564832057446015</v>
      </c>
      <c r="C146" s="353">
        <v>4</v>
      </c>
      <c r="E146" s="94"/>
      <c r="F146" s="95"/>
      <c r="G146" s="61"/>
      <c r="H146" s="3"/>
    </row>
    <row r="147" spans="1:8" x14ac:dyDescent="0.2">
      <c r="A147" s="493">
        <v>4</v>
      </c>
      <c r="B147" s="490">
        <f t="shared" si="9"/>
        <v>11.08254046850239</v>
      </c>
      <c r="C147" s="353">
        <v>4</v>
      </c>
      <c r="E147" s="10"/>
    </row>
    <row r="149" spans="1:8" x14ac:dyDescent="0.2">
      <c r="A149" s="915"/>
      <c r="B149" s="915"/>
    </row>
    <row r="150" spans="1:8" ht="14.25" x14ac:dyDescent="0.2">
      <c r="A150" s="904" t="s">
        <v>681</v>
      </c>
      <c r="B150" s="904"/>
      <c r="C150" s="904"/>
      <c r="D150" s="904"/>
    </row>
    <row r="151" spans="1:8" ht="14.25" x14ac:dyDescent="0.2">
      <c r="A151" s="903" t="s">
        <v>683</v>
      </c>
      <c r="B151" s="903"/>
      <c r="C151" s="903"/>
      <c r="D151" s="220" t="s">
        <v>684</v>
      </c>
    </row>
    <row r="152" spans="1:8" x14ac:dyDescent="0.2">
      <c r="A152" s="138">
        <v>0</v>
      </c>
      <c r="B152" s="152" t="s">
        <v>682</v>
      </c>
      <c r="C152" s="152">
        <v>14</v>
      </c>
      <c r="D152" s="223">
        <v>0.8</v>
      </c>
    </row>
    <row r="153" spans="1:8" x14ac:dyDescent="0.2">
      <c r="A153" s="138">
        <v>14</v>
      </c>
      <c r="B153" s="152" t="s">
        <v>682</v>
      </c>
      <c r="C153" s="152">
        <v>29</v>
      </c>
      <c r="D153" s="223">
        <v>1</v>
      </c>
    </row>
    <row r="154" spans="1:8" x14ac:dyDescent="0.2">
      <c r="A154" s="138">
        <v>29</v>
      </c>
      <c r="B154" s="152" t="s">
        <v>682</v>
      </c>
      <c r="C154" s="152">
        <v>49</v>
      </c>
      <c r="D154" s="223">
        <v>1.1000000000000001</v>
      </c>
    </row>
    <row r="155" spans="1:8" x14ac:dyDescent="0.2">
      <c r="A155" s="138">
        <v>49</v>
      </c>
      <c r="B155" s="152" t="s">
        <v>682</v>
      </c>
      <c r="C155" s="152">
        <v>99</v>
      </c>
      <c r="D155" s="223">
        <v>1.25</v>
      </c>
    </row>
    <row r="156" spans="1:8" x14ac:dyDescent="0.2">
      <c r="A156" s="138">
        <v>99</v>
      </c>
      <c r="B156" s="152" t="s">
        <v>682</v>
      </c>
      <c r="C156" s="152">
        <v>149</v>
      </c>
      <c r="D156" s="223">
        <v>1.4</v>
      </c>
    </row>
    <row r="157" spans="1:8" x14ac:dyDescent="0.2">
      <c r="A157" s="138">
        <v>149</v>
      </c>
      <c r="B157" s="152" t="s">
        <v>682</v>
      </c>
      <c r="C157" s="152">
        <v>199</v>
      </c>
      <c r="D157" s="223">
        <v>1.5</v>
      </c>
    </row>
    <row r="158" spans="1:8" x14ac:dyDescent="0.2">
      <c r="A158" s="138">
        <v>199</v>
      </c>
      <c r="B158" s="152" t="s">
        <v>682</v>
      </c>
      <c r="C158" s="152">
        <v>299</v>
      </c>
      <c r="D158" s="223">
        <v>1.6</v>
      </c>
    </row>
    <row r="159" spans="1:8" x14ac:dyDescent="0.2">
      <c r="A159" s="200"/>
      <c r="B159" s="225"/>
    </row>
    <row r="160" spans="1:8" x14ac:dyDescent="0.2">
      <c r="A160" s="903" t="s">
        <v>699</v>
      </c>
      <c r="B160" s="903"/>
    </row>
    <row r="161" spans="1:2" ht="25.5" x14ac:dyDescent="0.2">
      <c r="A161" s="213" t="s">
        <v>700</v>
      </c>
      <c r="B161" s="220" t="s">
        <v>701</v>
      </c>
    </row>
    <row r="162" spans="1:2" x14ac:dyDescent="0.2">
      <c r="A162" s="152">
        <v>24</v>
      </c>
      <c r="B162" s="152">
        <v>30</v>
      </c>
    </row>
    <row r="163" spans="1:2" x14ac:dyDescent="0.2">
      <c r="A163" s="152">
        <v>30</v>
      </c>
      <c r="B163" s="152">
        <v>35</v>
      </c>
    </row>
    <row r="164" spans="1:2" x14ac:dyDescent="0.2">
      <c r="A164" s="152">
        <v>34</v>
      </c>
      <c r="B164" s="152">
        <v>40</v>
      </c>
    </row>
  </sheetData>
  <sheetProtection password="F828" sheet="1"/>
  <mergeCells count="27">
    <mergeCell ref="G118:J118"/>
    <mergeCell ref="A160:B160"/>
    <mergeCell ref="K36:K37"/>
    <mergeCell ref="A132:C132"/>
    <mergeCell ref="A92:E92"/>
    <mergeCell ref="A109:C109"/>
    <mergeCell ref="I36:I37"/>
    <mergeCell ref="K118:N118"/>
    <mergeCell ref="E36:E37"/>
    <mergeCell ref="J36:J37"/>
    <mergeCell ref="L39:P43"/>
    <mergeCell ref="A151:C151"/>
    <mergeCell ref="A150:D150"/>
    <mergeCell ref="E1:H1"/>
    <mergeCell ref="E2:H4"/>
    <mergeCell ref="C36:C37"/>
    <mergeCell ref="B36:B37"/>
    <mergeCell ref="A36:A37"/>
    <mergeCell ref="A110:B110"/>
    <mergeCell ref="G36:G37"/>
    <mergeCell ref="D36:D37"/>
    <mergeCell ref="A149:B149"/>
    <mergeCell ref="B118:B119"/>
    <mergeCell ref="A117:M117"/>
    <mergeCell ref="A114:B114"/>
    <mergeCell ref="A118:A119"/>
    <mergeCell ref="C118:F118"/>
  </mergeCells>
  <pageMargins left="0.7" right="0.7" top="0.75" bottom="0.75" header="0.3" footer="0.3"/>
  <pageSetup scale="42" fitToHeight="0"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5"/>
  <sheetViews>
    <sheetView workbookViewId="0">
      <selection activeCell="K32" sqref="K32"/>
    </sheetView>
  </sheetViews>
  <sheetFormatPr defaultRowHeight="12.75" x14ac:dyDescent="0.2"/>
  <cols>
    <col min="1" max="1" width="9.33203125" style="176"/>
    <col min="2" max="2" width="11.33203125" style="176" customWidth="1"/>
    <col min="3" max="3" width="10.33203125" style="176" customWidth="1"/>
    <col min="4" max="7" width="9.33203125" style="176"/>
    <col min="8" max="8" width="10.33203125" style="176" customWidth="1"/>
    <col min="9" max="9" width="13" style="176" customWidth="1"/>
    <col min="10" max="16384" width="9.33203125" style="176"/>
  </cols>
  <sheetData>
    <row r="1" spans="1:9" x14ac:dyDescent="0.2">
      <c r="A1" s="860" t="s">
        <v>635</v>
      </c>
      <c r="B1" s="861"/>
      <c r="C1" s="861"/>
      <c r="D1" s="861"/>
      <c r="E1" s="861"/>
      <c r="F1" s="861"/>
      <c r="G1" s="861"/>
      <c r="H1" s="862"/>
    </row>
    <row r="2" spans="1:9" x14ac:dyDescent="0.2">
      <c r="A2" s="311" t="s">
        <v>636</v>
      </c>
      <c r="B2" s="200"/>
      <c r="C2" s="200"/>
      <c r="D2" s="200"/>
      <c r="E2" s="200"/>
      <c r="F2" s="200"/>
      <c r="G2" s="200"/>
      <c r="H2" s="214"/>
      <c r="I2" s="326"/>
    </row>
    <row r="3" spans="1:9" ht="14.25" x14ac:dyDescent="0.2">
      <c r="A3" s="327" t="s">
        <v>283</v>
      </c>
      <c r="B3" s="247" t="s">
        <v>350</v>
      </c>
      <c r="C3" s="247" t="s">
        <v>285</v>
      </c>
      <c r="D3" s="213" t="s">
        <v>217</v>
      </c>
      <c r="E3" s="213" t="s">
        <v>220</v>
      </c>
      <c r="F3" s="213" t="s">
        <v>218</v>
      </c>
      <c r="G3" s="213" t="s">
        <v>219</v>
      </c>
      <c r="H3" s="215" t="s">
        <v>221</v>
      </c>
      <c r="I3" s="326"/>
    </row>
    <row r="4" spans="1:9" x14ac:dyDescent="0.2">
      <c r="A4" s="130" t="s">
        <v>36</v>
      </c>
      <c r="B4" s="198">
        <f>Post!C227</f>
        <v>0</v>
      </c>
      <c r="C4" s="198">
        <f>Post!D227</f>
        <v>0</v>
      </c>
      <c r="D4" s="138">
        <f>SQRT(B4^2+C4^2)</f>
        <v>0</v>
      </c>
      <c r="E4" s="138">
        <f>MAX(0.199*B4+C4,0.567*B4+0.848*C4,0.848*B4+0.567*C4,B4+0.199*C4)</f>
        <v>0</v>
      </c>
      <c r="F4" s="138">
        <f>MAX(0.732*(B4+C4),B4+0.268*C4,0.268*B4+C4)</f>
        <v>0</v>
      </c>
      <c r="G4" s="138">
        <f>MAX(B4+0.414*C4,0.414*B4+C4)</f>
        <v>0</v>
      </c>
      <c r="H4" s="216">
        <f>B4+C4</f>
        <v>0</v>
      </c>
    </row>
    <row r="5" spans="1:9" x14ac:dyDescent="0.2">
      <c r="A5" s="130" t="s">
        <v>37</v>
      </c>
      <c r="B5" s="198">
        <f>Post!C228</f>
        <v>614.08902983982989</v>
      </c>
      <c r="C5" s="198">
        <f>Post!D228</f>
        <v>0</v>
      </c>
      <c r="D5" s="138">
        <f>SQRT(B5^2+C5^2)</f>
        <v>614.08902983982989</v>
      </c>
      <c r="E5" s="138">
        <f>MAX(0.199*B5+C5,0.567*B5+0.848*C5,0.848*B5+0.567*C5,B5+0.199*C5)</f>
        <v>614.08902983982989</v>
      </c>
      <c r="F5" s="138">
        <f>MAX(0.732*(B5+C5),B5+0.268*C5,0.268*B5+C5)</f>
        <v>614.08902983982989</v>
      </c>
      <c r="G5" s="138">
        <f>MAX(B5+0.414*C5,0.414*B5+C5)</f>
        <v>614.08902983982989</v>
      </c>
      <c r="H5" s="216">
        <f>B5+C5</f>
        <v>614.08902983982989</v>
      </c>
    </row>
    <row r="6" spans="1:9" x14ac:dyDescent="0.2">
      <c r="A6" s="130" t="s">
        <v>38</v>
      </c>
      <c r="B6" s="198">
        <f>Post!C229</f>
        <v>307.04451491991495</v>
      </c>
      <c r="C6" s="198">
        <f>Post!D229</f>
        <v>0</v>
      </c>
      <c r="D6" s="138">
        <f>SQRT(B6^2+C6^2)</f>
        <v>307.04451491991495</v>
      </c>
      <c r="E6" s="138">
        <f>MAX(0.199*B6+C6,0.567*B6+0.848*C6,0.848*B6+0.567*C6,B6+0.199*C6)</f>
        <v>307.04451491991495</v>
      </c>
      <c r="F6" s="138">
        <f>MAX(0.732*(B6+C6),B6+0.268*C6,0.268*B6+C6)</f>
        <v>307.04451491991495</v>
      </c>
      <c r="G6" s="138">
        <f>MAX(B6+0.414*C6,0.414*B6+C6)</f>
        <v>307.04451491991495</v>
      </c>
      <c r="H6" s="216">
        <f>B6+C6</f>
        <v>307.04451491991495</v>
      </c>
    </row>
    <row r="7" spans="1:9" x14ac:dyDescent="0.2">
      <c r="A7" s="217"/>
      <c r="B7" s="201"/>
      <c r="C7" s="201"/>
      <c r="D7" s="201"/>
      <c r="E7" s="201"/>
      <c r="F7" s="201"/>
      <c r="G7" s="201"/>
      <c r="H7" s="214"/>
    </row>
    <row r="8" spans="1:9" x14ac:dyDescent="0.2">
      <c r="A8" s="312" t="s">
        <v>637</v>
      </c>
      <c r="B8" s="202"/>
      <c r="C8" s="202"/>
      <c r="D8" s="202"/>
      <c r="E8" s="202"/>
      <c r="F8" s="200"/>
      <c r="G8" s="200"/>
      <c r="H8" s="214"/>
    </row>
    <row r="9" spans="1:9" ht="14.25" x14ac:dyDescent="0.2">
      <c r="A9" s="327" t="s">
        <v>283</v>
      </c>
      <c r="B9" s="247" t="s">
        <v>350</v>
      </c>
      <c r="C9" s="247" t="s">
        <v>285</v>
      </c>
      <c r="D9" s="213" t="s">
        <v>217</v>
      </c>
      <c r="E9" s="213" t="s">
        <v>220</v>
      </c>
      <c r="F9" s="213" t="s">
        <v>218</v>
      </c>
      <c r="G9" s="213" t="s">
        <v>219</v>
      </c>
      <c r="H9" s="215" t="s">
        <v>221</v>
      </c>
    </row>
    <row r="10" spans="1:9" x14ac:dyDescent="0.2">
      <c r="A10" s="130" t="s">
        <v>36</v>
      </c>
      <c r="B10" s="198">
        <f>Post!C272</f>
        <v>15586.091243236993</v>
      </c>
      <c r="C10" s="198">
        <f>Post!D272</f>
        <v>0</v>
      </c>
      <c r="D10" s="138">
        <f>SQRT(B10^2+C10^2)</f>
        <v>15586.091243236993</v>
      </c>
      <c r="E10" s="138">
        <f>MAX(0.199*B10+C10,0.567*B10+0.848*C10,0.848*B10+0.567*C10,B10+0.199*C10)</f>
        <v>15586.091243236993</v>
      </c>
      <c r="F10" s="138">
        <f>MAX(0.732*(B10+C10),B10+0.268*C10,0.268*B10+C10)</f>
        <v>15586.091243236993</v>
      </c>
      <c r="G10" s="138">
        <f>MAX(B10+0.414*C10,0.414*B10+C10)</f>
        <v>15586.091243236993</v>
      </c>
      <c r="H10" s="216">
        <f>B10+C10</f>
        <v>15586.091243236993</v>
      </c>
    </row>
    <row r="11" spans="1:9" x14ac:dyDescent="0.2">
      <c r="A11" s="130" t="s">
        <v>37</v>
      </c>
      <c r="B11" s="198">
        <f>Post!C273</f>
        <v>26652.473326085896</v>
      </c>
      <c r="C11" s="198">
        <f>Post!D273</f>
        <v>0</v>
      </c>
      <c r="D11" s="138">
        <f>SQRT(B11^2+C11^2)</f>
        <v>26652.473326085896</v>
      </c>
      <c r="E11" s="138">
        <f>MAX(0.199*B11+C11,0.567*B11+0.848*C11,0.848*B11+0.567*C11,B11+0.199*C11)</f>
        <v>26652.473326085896</v>
      </c>
      <c r="F11" s="138">
        <f>MAX(0.732*(B11+C11),B11+0.268*C11,0.268*B11+C11)</f>
        <v>26652.473326085896</v>
      </c>
      <c r="G11" s="138">
        <f>MAX(B11+0.414*C11,0.414*B11+C11)</f>
        <v>26652.473326085896</v>
      </c>
      <c r="H11" s="216">
        <f>B11+C11</f>
        <v>26652.473326085896</v>
      </c>
    </row>
    <row r="12" spans="1:9" x14ac:dyDescent="0.2">
      <c r="A12" s="130" t="s">
        <v>38</v>
      </c>
      <c r="B12" s="198">
        <f>Post!C274</f>
        <v>25015.805095470696</v>
      </c>
      <c r="C12" s="198">
        <f>Post!D274</f>
        <v>0</v>
      </c>
      <c r="D12" s="138">
        <f>SQRT(B12^2+C12^2)</f>
        <v>25015.805095470696</v>
      </c>
      <c r="E12" s="138">
        <f>MAX(0.199*B12+C12,0.567*B12+0.848*C12,0.848*B12+0.567*C12,B12+0.199*C12)</f>
        <v>25015.805095470696</v>
      </c>
      <c r="F12" s="138">
        <f>MAX(0.732*(B12+C12),B12+0.268*C12,0.268*B12+C12)</f>
        <v>25015.805095470696</v>
      </c>
      <c r="G12" s="138">
        <f>MAX(B12+0.414*C12,0.414*B12+C12)</f>
        <v>25015.805095470696</v>
      </c>
      <c r="H12" s="216">
        <f>B12+C12</f>
        <v>25015.805095470696</v>
      </c>
    </row>
    <row r="13" spans="1:9" x14ac:dyDescent="0.2">
      <c r="A13" s="217"/>
      <c r="B13" s="200"/>
      <c r="C13" s="200"/>
      <c r="D13" s="200"/>
      <c r="E13" s="200"/>
      <c r="F13" s="200"/>
      <c r="G13" s="200"/>
      <c r="H13" s="214"/>
    </row>
    <row r="14" spans="1:9" x14ac:dyDescent="0.2">
      <c r="A14" s="312" t="s">
        <v>351</v>
      </c>
      <c r="B14" s="202"/>
      <c r="C14" s="202"/>
      <c r="D14" s="202"/>
      <c r="E14" s="202"/>
      <c r="F14" s="200"/>
      <c r="G14" s="200"/>
      <c r="H14" s="214"/>
    </row>
    <row r="15" spans="1:9" ht="14.25" x14ac:dyDescent="0.2">
      <c r="A15" s="327" t="s">
        <v>283</v>
      </c>
      <c r="B15" s="247" t="s">
        <v>350</v>
      </c>
      <c r="C15" s="247" t="s">
        <v>285</v>
      </c>
      <c r="D15" s="213" t="s">
        <v>217</v>
      </c>
      <c r="E15" s="213" t="s">
        <v>220</v>
      </c>
      <c r="F15" s="213" t="s">
        <v>218</v>
      </c>
      <c r="G15" s="213" t="s">
        <v>219</v>
      </c>
      <c r="H15" s="215" t="s">
        <v>221</v>
      </c>
    </row>
    <row r="16" spans="1:9" x14ac:dyDescent="0.2">
      <c r="A16" s="130" t="s">
        <v>36</v>
      </c>
      <c r="B16" s="198">
        <f>Post!C316</f>
        <v>16180.820910075226</v>
      </c>
      <c r="C16" s="198">
        <f>Post!D316</f>
        <v>0</v>
      </c>
      <c r="D16" s="138">
        <f>SQRT(B16^2+C16^2)</f>
        <v>16180.820910075226</v>
      </c>
      <c r="E16" s="138">
        <f>MAX(0.199*B16+C16,0.567*B16+0.848*C16,0.848*B16+0.567*C16,B16+0.199*C16)</f>
        <v>16180.820910075226</v>
      </c>
      <c r="F16" s="138">
        <f>MAX(0.732*(B16+C16),B16+0.268*C16,0.268*B16+C16)</f>
        <v>16180.820910075226</v>
      </c>
      <c r="G16" s="138">
        <f>MAX(B16+0.414*C16,0.414*B16+C16)</f>
        <v>16180.820910075226</v>
      </c>
      <c r="H16" s="216">
        <f>B16+C16</f>
        <v>16180.820910075226</v>
      </c>
    </row>
    <row r="17" spans="1:8" x14ac:dyDescent="0.2">
      <c r="A17" s="130" t="s">
        <v>37</v>
      </c>
      <c r="B17" s="198">
        <f>Post!C317</f>
        <v>27543.024753091217</v>
      </c>
      <c r="C17" s="198">
        <f>Post!D317</f>
        <v>0</v>
      </c>
      <c r="D17" s="138">
        <f>SQRT(B17^2+C17^2)</f>
        <v>27543.024753091217</v>
      </c>
      <c r="E17" s="138">
        <f>MAX(0.199*B17+C17,0.567*B17+0.848*C17,0.848*B17+0.567*C17,B17+0.199*C17)</f>
        <v>27543.024753091217</v>
      </c>
      <c r="F17" s="138">
        <f>MAX(0.732*(B17+C17),B17+0.268*C17,0.268*B17+C17)</f>
        <v>27543.024753091217</v>
      </c>
      <c r="G17" s="138">
        <f>MAX(B17+0.414*C17,0.414*B17+C17)</f>
        <v>27543.024753091217</v>
      </c>
      <c r="H17" s="216">
        <f>B17+C17</f>
        <v>27543.024753091217</v>
      </c>
    </row>
    <row r="18" spans="1:8" x14ac:dyDescent="0.2">
      <c r="A18" s="130" t="s">
        <v>38</v>
      </c>
      <c r="B18" s="198">
        <f>Post!C318</f>
        <v>25907.128059102026</v>
      </c>
      <c r="C18" s="198">
        <f>Post!D318</f>
        <v>0</v>
      </c>
      <c r="D18" s="138">
        <f>SQRT(B18^2+C18^2)</f>
        <v>25907.128059102026</v>
      </c>
      <c r="E18" s="138">
        <f>MAX(0.199*B18+C18,0.567*B18+0.848*C18,0.848*B18+0.567*C18,B18+0.199*C18)</f>
        <v>25907.128059102026</v>
      </c>
      <c r="F18" s="138">
        <f>MAX(0.732*(B18+C18),B18+0.268*C18,0.268*B18+C18)</f>
        <v>25907.128059102026</v>
      </c>
      <c r="G18" s="138">
        <f>MAX(B18+0.414*C18,0.414*B18+C18)</f>
        <v>25907.128059102026</v>
      </c>
      <c r="H18" s="216">
        <f>B18+C18</f>
        <v>25907.128059102026</v>
      </c>
    </row>
    <row r="19" spans="1:8" x14ac:dyDescent="0.2">
      <c r="A19" s="217"/>
      <c r="B19" s="200"/>
      <c r="C19" s="200"/>
      <c r="D19" s="200"/>
      <c r="E19" s="200"/>
      <c r="F19" s="200"/>
      <c r="G19" s="200"/>
      <c r="H19" s="214"/>
    </row>
    <row r="20" spans="1:8" x14ac:dyDescent="0.2">
      <c r="A20" s="312" t="s">
        <v>352</v>
      </c>
      <c r="B20" s="202"/>
      <c r="C20" s="202"/>
      <c r="D20" s="202"/>
      <c r="E20" s="202"/>
      <c r="F20" s="200"/>
      <c r="G20" s="200"/>
      <c r="H20" s="214"/>
    </row>
    <row r="21" spans="1:8" ht="14.25" x14ac:dyDescent="0.2">
      <c r="A21" s="327" t="s">
        <v>283</v>
      </c>
      <c r="B21" s="247" t="s">
        <v>350</v>
      </c>
      <c r="C21" s="247" t="s">
        <v>285</v>
      </c>
      <c r="D21" s="213" t="s">
        <v>217</v>
      </c>
      <c r="E21" s="213" t="s">
        <v>220</v>
      </c>
      <c r="F21" s="213" t="s">
        <v>218</v>
      </c>
      <c r="G21" s="213" t="s">
        <v>219</v>
      </c>
      <c r="H21" s="215" t="s">
        <v>221</v>
      </c>
    </row>
    <row r="22" spans="1:8" x14ac:dyDescent="0.2">
      <c r="A22" s="130" t="s">
        <v>36</v>
      </c>
      <c r="B22" s="198">
        <f>Post!C359</f>
        <v>17180.790273556231</v>
      </c>
      <c r="C22" s="198">
        <f>Post!D359</f>
        <v>0</v>
      </c>
      <c r="D22" s="138">
        <f>SQRT(B22^2+C22^2)</f>
        <v>17180.790273556231</v>
      </c>
      <c r="E22" s="138">
        <f>MAX(0.199*B22+C22,0.567*B22+0.848*C22,0.848*B22+0.567*C22,B22+0.199*C22)</f>
        <v>17180.790273556231</v>
      </c>
      <c r="F22" s="138">
        <f>MAX(0.732*(B22+C22),B22+0.268*C22,0.268*B22+C22)</f>
        <v>17180.790273556231</v>
      </c>
      <c r="G22" s="138">
        <f>MAX(B22+0.414*C22,0.414*B22+C22)</f>
        <v>17180.790273556231</v>
      </c>
      <c r="H22" s="216">
        <f>B22+C22</f>
        <v>17180.790273556231</v>
      </c>
    </row>
    <row r="23" spans="1:8" x14ac:dyDescent="0.2">
      <c r="A23" s="130" t="s">
        <v>37</v>
      </c>
      <c r="B23" s="198">
        <f>Post!C360</f>
        <v>29235.105010394655</v>
      </c>
      <c r="C23" s="198">
        <f>Post!D360</f>
        <v>0</v>
      </c>
      <c r="D23" s="138">
        <f>SQRT(B23^2+C23^2)</f>
        <v>29235.105010394655</v>
      </c>
      <c r="E23" s="138">
        <f>MAX(0.199*B23+C23,0.567*B23+0.848*C23,0.848*B23+0.567*C23,B23+0.199*C23)</f>
        <v>29235.105010394655</v>
      </c>
      <c r="F23" s="138">
        <f>MAX(0.732*(B23+C23),B23+0.268*C23,0.268*B23+C23)</f>
        <v>29235.105010394655</v>
      </c>
      <c r="G23" s="138">
        <f>MAX(B23+0.414*C23,0.414*B23+C23)</f>
        <v>29235.105010394655</v>
      </c>
      <c r="H23" s="216">
        <f>B23+C23</f>
        <v>29235.105010394655</v>
      </c>
    </row>
    <row r="24" spans="1:8" x14ac:dyDescent="0.2">
      <c r="A24" s="130" t="s">
        <v>38</v>
      </c>
      <c r="B24" s="198">
        <f>Post!C361</f>
        <v>27503.145210364502</v>
      </c>
      <c r="C24" s="198">
        <f>Post!D361</f>
        <v>0</v>
      </c>
      <c r="D24" s="138">
        <f>SQRT(B24^2+C24^2)</f>
        <v>27503.145210364502</v>
      </c>
      <c r="E24" s="138">
        <f>MAX(0.199*B24+C24,0.567*B24+0.848*C24,0.848*B24+0.567*C24,B24+0.199*C24)</f>
        <v>27503.145210364502</v>
      </c>
      <c r="F24" s="138">
        <f>MAX(0.732*(B24+C24),B24+0.268*C24,0.268*B24+C24)</f>
        <v>27503.145210364502</v>
      </c>
      <c r="G24" s="138">
        <f>MAX(B24+0.414*C24,0.414*B24+C24)</f>
        <v>27503.145210364502</v>
      </c>
      <c r="H24" s="216">
        <f>B24+C24</f>
        <v>27503.145210364502</v>
      </c>
    </row>
    <row r="25" spans="1:8" ht="13.5" thickBot="1" x14ac:dyDescent="0.25">
      <c r="A25" s="328"/>
      <c r="B25" s="329"/>
      <c r="C25" s="329"/>
      <c r="D25" s="329"/>
      <c r="E25" s="329"/>
      <c r="F25" s="329"/>
      <c r="G25" s="329"/>
      <c r="H25" s="330"/>
    </row>
  </sheetData>
  <sheetProtection password="F828" sheet="1"/>
  <mergeCells count="1">
    <mergeCell ref="A1:H1"/>
  </mergeCells>
  <pageMargins left="0.7" right="0.7" top="0.75" bottom="0.75" header="0.3" footer="0.3"/>
  <pageSetup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71"/>
  <sheetViews>
    <sheetView workbookViewId="0">
      <selection activeCell="A38" sqref="A38"/>
    </sheetView>
  </sheetViews>
  <sheetFormatPr defaultRowHeight="12.75" x14ac:dyDescent="0.2"/>
  <cols>
    <col min="1" max="1" width="18.5" style="154" customWidth="1"/>
    <col min="2" max="2" width="13.83203125" style="154" customWidth="1"/>
    <col min="3" max="3" width="12" style="154" customWidth="1"/>
    <col min="4" max="4" width="12.1640625" style="154" customWidth="1"/>
    <col min="5" max="5" width="13" style="154" customWidth="1"/>
    <col min="6" max="6" width="14.1640625" style="154" customWidth="1"/>
    <col min="7" max="7" width="12" style="154" customWidth="1"/>
    <col min="8" max="16384" width="9.33203125" style="154"/>
  </cols>
  <sheetData>
    <row r="1" spans="1:7" x14ac:dyDescent="0.2">
      <c r="A1" s="313" t="s">
        <v>638</v>
      </c>
      <c r="B1" s="314"/>
      <c r="C1" s="314"/>
      <c r="D1" s="314"/>
      <c r="E1" s="314"/>
      <c r="F1" s="314"/>
      <c r="G1" s="315"/>
    </row>
    <row r="2" spans="1:7" x14ac:dyDescent="0.2">
      <c r="A2" s="218"/>
      <c r="B2" s="316"/>
      <c r="C2" s="316"/>
      <c r="D2" s="316"/>
      <c r="E2" s="316"/>
      <c r="F2" s="316"/>
      <c r="G2" s="317"/>
    </row>
    <row r="3" spans="1:7" x14ac:dyDescent="0.2">
      <c r="A3" s="318" t="s">
        <v>271</v>
      </c>
      <c r="B3" s="198">
        <f>Post!H20</f>
        <v>23</v>
      </c>
      <c r="C3" s="316" t="s">
        <v>363</v>
      </c>
      <c r="D3" s="316"/>
      <c r="E3" s="316"/>
      <c r="F3" s="316"/>
      <c r="G3" s="317"/>
    </row>
    <row r="4" spans="1:7" x14ac:dyDescent="0.2">
      <c r="A4" s="318" t="s">
        <v>274</v>
      </c>
      <c r="B4" s="138" t="str">
        <f>Post!$B$18</f>
        <v>12-sided</v>
      </c>
      <c r="C4" s="316"/>
      <c r="D4" s="316"/>
      <c r="E4" s="316"/>
      <c r="F4" s="316"/>
      <c r="G4" s="317"/>
    </row>
    <row r="5" spans="1:7" x14ac:dyDescent="0.2">
      <c r="A5" s="318" t="s">
        <v>264</v>
      </c>
      <c r="B5" s="138">
        <v>29000</v>
      </c>
      <c r="C5" s="316" t="s">
        <v>45</v>
      </c>
      <c r="D5" s="170" t="s">
        <v>127</v>
      </c>
      <c r="E5" s="197">
        <f>IF(B4="Round","N/A",TAN(RADIANS(180/E6))*(B7-2*B8-3*B8))</f>
        <v>0.54393686063517899</v>
      </c>
      <c r="F5" s="171" t="s">
        <v>1</v>
      </c>
      <c r="G5" s="317"/>
    </row>
    <row r="6" spans="1:7" ht="15.75" x14ac:dyDescent="0.2">
      <c r="A6" s="318" t="s">
        <v>199</v>
      </c>
      <c r="B6" s="138">
        <f>Post!$A$9/1000</f>
        <v>65</v>
      </c>
      <c r="C6" s="316" t="s">
        <v>45</v>
      </c>
      <c r="D6" s="170" t="s">
        <v>277</v>
      </c>
      <c r="E6" s="138">
        <f>VLOOKUP(B4,'Pick List Data'!$A$74:$B$78,2,0)</f>
        <v>12</v>
      </c>
      <c r="F6" s="171" t="s">
        <v>278</v>
      </c>
      <c r="G6" s="317"/>
    </row>
    <row r="7" spans="1:7" x14ac:dyDescent="0.2">
      <c r="A7" s="318" t="s">
        <v>273</v>
      </c>
      <c r="B7" s="197">
        <f>Post!H21</f>
        <v>3.28</v>
      </c>
      <c r="C7" s="316" t="s">
        <v>1</v>
      </c>
      <c r="D7" s="316"/>
      <c r="E7" s="316"/>
      <c r="F7" s="316"/>
      <c r="G7" s="317"/>
    </row>
    <row r="8" spans="1:7" x14ac:dyDescent="0.2">
      <c r="A8" s="318" t="s">
        <v>147</v>
      </c>
      <c r="B8" s="138">
        <f>Post!$B$24</f>
        <v>0.25</v>
      </c>
      <c r="C8" s="316" t="s">
        <v>1</v>
      </c>
      <c r="D8" s="319" t="s">
        <v>279</v>
      </c>
      <c r="E8" s="196">
        <f>IF(B4="Round",B7/B8,E5/B8)</f>
        <v>2.1757474425407159</v>
      </c>
      <c r="F8" s="316"/>
      <c r="G8" s="317"/>
    </row>
    <row r="9" spans="1:7" x14ac:dyDescent="0.2">
      <c r="A9" s="318"/>
      <c r="B9" s="316"/>
      <c r="C9" s="316"/>
      <c r="D9" s="316"/>
      <c r="E9" s="316"/>
      <c r="F9" s="316"/>
      <c r="G9" s="317"/>
    </row>
    <row r="10" spans="1:7" ht="12.75" customHeight="1" x14ac:dyDescent="0.2">
      <c r="A10" s="941" t="s">
        <v>216</v>
      </c>
      <c r="B10" s="943" t="s">
        <v>267</v>
      </c>
      <c r="C10" s="944"/>
      <c r="D10" s="945"/>
      <c r="E10" s="943" t="s">
        <v>270</v>
      </c>
      <c r="F10" s="944"/>
      <c r="G10" s="946"/>
    </row>
    <row r="11" spans="1:7" ht="38.25" x14ac:dyDescent="0.2">
      <c r="A11" s="942"/>
      <c r="B11" s="167" t="s">
        <v>261</v>
      </c>
      <c r="C11" s="167" t="s">
        <v>262</v>
      </c>
      <c r="D11" s="167" t="s">
        <v>263</v>
      </c>
      <c r="E11" s="167" t="s">
        <v>446</v>
      </c>
      <c r="F11" s="167" t="s">
        <v>268</v>
      </c>
      <c r="G11" s="320" t="s">
        <v>269</v>
      </c>
    </row>
    <row r="12" spans="1:7" x14ac:dyDescent="0.2">
      <c r="A12" s="351" t="s">
        <v>217</v>
      </c>
      <c r="B12" s="196">
        <f>0.1259*B5/B6</f>
        <v>56.170769230769238</v>
      </c>
      <c r="C12" s="196">
        <f>0.2616*B5/B6</f>
        <v>116.71384615384615</v>
      </c>
      <c r="D12" s="196">
        <f>0.4483*B5/B6</f>
        <v>200.01076923076923</v>
      </c>
      <c r="E12" s="196">
        <f>0.66*B6*1000</f>
        <v>42900</v>
      </c>
      <c r="F12" s="196">
        <f>(0.39+(B5/B6)/(29.41*E8))*B6*1000</f>
        <v>478554.79034935607</v>
      </c>
      <c r="G12" s="352">
        <f>(0.39+(B5/B6)/(29.41*E8))*B6*1000</f>
        <v>478554.79034935607</v>
      </c>
    </row>
    <row r="13" spans="1:7" x14ac:dyDescent="0.2">
      <c r="A13" s="351" t="s">
        <v>220</v>
      </c>
      <c r="B13" s="196">
        <f>1.116*SQRT(B5/B6)</f>
        <v>23.572547266160793</v>
      </c>
      <c r="C13" s="196">
        <f>1.263*SQRT(B5/B6)</f>
        <v>26.677533330789498</v>
      </c>
      <c r="D13" s="196">
        <f>2.143*SQRT(B5/B6)</f>
        <v>45.265205010199438</v>
      </c>
      <c r="E13" s="196">
        <f>0.66*B6*1000</f>
        <v>42900</v>
      </c>
      <c r="F13" s="196">
        <f>1.709*B6*(1-0.55/SQRT(B5/B6)*E8)*1000</f>
        <v>104791.6154454178</v>
      </c>
      <c r="G13" s="352">
        <f>0.74*B6*(1-0.2333/SQRT(B5/B6)*E8)*1000</f>
        <v>46944.084795710216</v>
      </c>
    </row>
    <row r="14" spans="1:7" x14ac:dyDescent="0.2">
      <c r="A14" s="351" t="s">
        <v>218</v>
      </c>
      <c r="B14" s="196">
        <f>1.116*SQRT(B5/B6)</f>
        <v>23.572547266160793</v>
      </c>
      <c r="C14" s="196">
        <f>1.409*SQRT(B5/B6)</f>
        <v>29.761397041237057</v>
      </c>
      <c r="D14" s="196">
        <f>2.143*SQRT(B5/B6)</f>
        <v>45.265205010199438</v>
      </c>
      <c r="E14" s="196">
        <f>0.65*B6*1000</f>
        <v>42250</v>
      </c>
      <c r="F14" s="196">
        <f>1.152*B6*(1-0.39/SQRT(B5/B6)*E8)*1000</f>
        <v>71871.869979591793</v>
      </c>
      <c r="G14" s="352">
        <f>0.75*B6*(1-0.2197/SQRT(B5/B6)*E8)*1000</f>
        <v>47646.757870119385</v>
      </c>
    </row>
    <row r="15" spans="1:7" x14ac:dyDescent="0.2">
      <c r="A15" s="351" t="s">
        <v>219</v>
      </c>
      <c r="B15" s="196">
        <f>1.116*SQRT(B5/B6)</f>
        <v>23.572547266160793</v>
      </c>
      <c r="C15" s="196">
        <f>1.527*SQRT(B5/B6)</f>
        <v>32.253834834612483</v>
      </c>
      <c r="D15" s="196">
        <f>2.143*SQRT(B5/B6)</f>
        <v>45.265205010199438</v>
      </c>
      <c r="E15" s="196">
        <f>0.64*B6*1000</f>
        <v>41600</v>
      </c>
      <c r="F15" s="196">
        <f>0.964*B6*(1-0.3014/SQRT(B5/B6)*E8)*1000</f>
        <v>60714.640816022089</v>
      </c>
      <c r="G15" s="352">
        <f>0.74*B6*(1-0.1941/SQRT(B5/B6)*E8)*1000</f>
        <v>47138.306295959512</v>
      </c>
    </row>
    <row r="16" spans="1:7" x14ac:dyDescent="0.2">
      <c r="A16" s="351" t="s">
        <v>221</v>
      </c>
      <c r="B16" s="196">
        <f>1.116*SQRT(B5/B6)</f>
        <v>23.572547266160793</v>
      </c>
      <c r="C16" s="196">
        <f>1.527*SQRT(B5/B6)</f>
        <v>32.253834834612483</v>
      </c>
      <c r="D16" s="196">
        <f>2.143*SQRT(B5/B6)</f>
        <v>45.265205010199438</v>
      </c>
      <c r="E16" s="196">
        <f>0.6*B6*1000</f>
        <v>39000</v>
      </c>
      <c r="F16" s="196">
        <f>0.815*B6*(1-0.2374/SQRT(B5/B6)*E8)*1000</f>
        <v>51679.558394590007</v>
      </c>
      <c r="G16" s="352">
        <f>0.74*B6*(1-0.1941/SQRT(B5/B6)*E8)*1000</f>
        <v>47138.306295959512</v>
      </c>
    </row>
    <row r="17" spans="1:7" x14ac:dyDescent="0.2">
      <c r="A17" s="321"/>
      <c r="B17" s="316"/>
      <c r="C17" s="316"/>
      <c r="D17" s="316"/>
      <c r="E17" s="316"/>
      <c r="F17" s="316"/>
      <c r="G17" s="317"/>
    </row>
    <row r="18" spans="1:7" x14ac:dyDescent="0.2">
      <c r="A18" s="321"/>
      <c r="B18" s="316"/>
      <c r="C18" s="316"/>
      <c r="D18" s="316"/>
      <c r="E18" s="316"/>
      <c r="F18" s="316"/>
      <c r="G18" s="317"/>
    </row>
    <row r="19" spans="1:7" x14ac:dyDescent="0.2">
      <c r="A19" s="218" t="s">
        <v>638</v>
      </c>
      <c r="B19" s="316"/>
      <c r="C19" s="316"/>
      <c r="D19" s="316"/>
      <c r="E19" s="316"/>
      <c r="F19" s="316"/>
      <c r="G19" s="317"/>
    </row>
    <row r="20" spans="1:7" x14ac:dyDescent="0.2">
      <c r="A20" s="218"/>
      <c r="B20" s="316"/>
      <c r="C20" s="316"/>
      <c r="D20" s="316"/>
      <c r="E20" s="316"/>
      <c r="F20" s="316"/>
      <c r="G20" s="317"/>
    </row>
    <row r="21" spans="1:7" x14ac:dyDescent="0.2">
      <c r="A21" s="318" t="s">
        <v>271</v>
      </c>
      <c r="B21" s="198">
        <f>Post!G20</f>
        <v>11.5</v>
      </c>
      <c r="C21" s="316" t="s">
        <v>272</v>
      </c>
      <c r="D21" s="316"/>
      <c r="E21" s="316"/>
      <c r="F21" s="316"/>
      <c r="G21" s="317"/>
    </row>
    <row r="22" spans="1:7" x14ac:dyDescent="0.2">
      <c r="A22" s="318" t="s">
        <v>274</v>
      </c>
      <c r="B22" s="138" t="str">
        <f>Post!$B$18</f>
        <v>12-sided</v>
      </c>
      <c r="C22" s="316"/>
      <c r="D22" s="316"/>
      <c r="E22" s="316"/>
      <c r="F22" s="316"/>
      <c r="G22" s="317"/>
    </row>
    <row r="23" spans="1:7" x14ac:dyDescent="0.2">
      <c r="A23" s="318" t="s">
        <v>264</v>
      </c>
      <c r="B23" s="138">
        <v>29000</v>
      </c>
      <c r="C23" s="316" t="s">
        <v>45</v>
      </c>
      <c r="D23" s="170" t="s">
        <v>127</v>
      </c>
      <c r="E23" s="197">
        <f>IF(B22="Round","N/A",TAN(RADIANS(180/E24))*(B25-2*B26-3*B26))</f>
        <v>0.97533506044928653</v>
      </c>
      <c r="F23" s="171" t="s">
        <v>1</v>
      </c>
      <c r="G23" s="317"/>
    </row>
    <row r="24" spans="1:7" ht="15.75" x14ac:dyDescent="0.2">
      <c r="A24" s="318" t="s">
        <v>199</v>
      </c>
      <c r="B24" s="138">
        <f>Post!$A$9/1000</f>
        <v>65</v>
      </c>
      <c r="C24" s="316" t="s">
        <v>45</v>
      </c>
      <c r="D24" s="170" t="s">
        <v>277</v>
      </c>
      <c r="E24" s="138">
        <f>VLOOKUP(B22,'Pick List Data'!$A$74:$B$78,2,0)</f>
        <v>12</v>
      </c>
      <c r="F24" s="171" t="s">
        <v>278</v>
      </c>
      <c r="G24" s="317"/>
    </row>
    <row r="25" spans="1:7" x14ac:dyDescent="0.2">
      <c r="A25" s="318" t="s">
        <v>273</v>
      </c>
      <c r="B25" s="197">
        <f>Post!G21</f>
        <v>4.8899999999999997</v>
      </c>
      <c r="C25" s="316" t="s">
        <v>1</v>
      </c>
      <c r="D25" s="316"/>
      <c r="E25" s="316"/>
      <c r="F25" s="316"/>
      <c r="G25" s="317"/>
    </row>
    <row r="26" spans="1:7" x14ac:dyDescent="0.2">
      <c r="A26" s="318" t="s">
        <v>147</v>
      </c>
      <c r="B26" s="138">
        <f>Post!$B$24</f>
        <v>0.25</v>
      </c>
      <c r="C26" s="316" t="s">
        <v>1</v>
      </c>
      <c r="D26" s="319" t="s">
        <v>279</v>
      </c>
      <c r="E26" s="196">
        <f>IF(B22="Round",B25/B26,E23/B26)</f>
        <v>3.9013402417971461</v>
      </c>
      <c r="F26" s="316"/>
      <c r="G26" s="317"/>
    </row>
    <row r="27" spans="1:7" x14ac:dyDescent="0.2">
      <c r="A27" s="318"/>
      <c r="B27" s="316"/>
      <c r="C27" s="316"/>
      <c r="D27" s="316"/>
      <c r="E27" s="316"/>
      <c r="F27" s="316"/>
      <c r="G27" s="317"/>
    </row>
    <row r="28" spans="1:7" x14ac:dyDescent="0.2">
      <c r="A28" s="941" t="s">
        <v>216</v>
      </c>
      <c r="B28" s="943" t="s">
        <v>267</v>
      </c>
      <c r="C28" s="944"/>
      <c r="D28" s="945"/>
      <c r="E28" s="943" t="s">
        <v>270</v>
      </c>
      <c r="F28" s="944"/>
      <c r="G28" s="946"/>
    </row>
    <row r="29" spans="1:7" ht="38.25" x14ac:dyDescent="0.2">
      <c r="A29" s="942"/>
      <c r="B29" s="167" t="s">
        <v>261</v>
      </c>
      <c r="C29" s="167" t="s">
        <v>262</v>
      </c>
      <c r="D29" s="167" t="s">
        <v>263</v>
      </c>
      <c r="E29" s="167" t="s">
        <v>446</v>
      </c>
      <c r="F29" s="167" t="s">
        <v>268</v>
      </c>
      <c r="G29" s="320" t="s">
        <v>269</v>
      </c>
    </row>
    <row r="30" spans="1:7" x14ac:dyDescent="0.2">
      <c r="A30" s="351" t="s">
        <v>217</v>
      </c>
      <c r="B30" s="196">
        <f>0.1259*B23/B24</f>
        <v>56.170769230769238</v>
      </c>
      <c r="C30" s="196">
        <f>0.2616*B23/B24</f>
        <v>116.71384615384615</v>
      </c>
      <c r="D30" s="196">
        <f>0.4483*B23/B24</f>
        <v>200.01076923076923</v>
      </c>
      <c r="E30" s="196">
        <f>0.66*B24*1000</f>
        <v>42900</v>
      </c>
      <c r="F30" s="196">
        <f>(0.39+(B23/B24)/(29.41*E26))*B24*1000</f>
        <v>278098.82538714091</v>
      </c>
      <c r="G30" s="352">
        <f>(0.39+(B23/B24)/(29.41*E26))*B24*1000</f>
        <v>278098.82538714091</v>
      </c>
    </row>
    <row r="31" spans="1:7" x14ac:dyDescent="0.2">
      <c r="A31" s="351" t="s">
        <v>220</v>
      </c>
      <c r="B31" s="196">
        <f>1.116*SQRT(B23/B24)</f>
        <v>23.572547266160793</v>
      </c>
      <c r="C31" s="196">
        <f>1.263*SQRT(B23/B24)</f>
        <v>26.677533330789498</v>
      </c>
      <c r="D31" s="196">
        <f>2.143*SQRT(B23/B24)</f>
        <v>45.265205010199438</v>
      </c>
      <c r="E31" s="196">
        <f>0.66*B24*1000</f>
        <v>42900</v>
      </c>
      <c r="F31" s="196">
        <f>1.709*B24*(1-0.55/SQRT(B23/B24)*E26)*1000</f>
        <v>99800.310453852624</v>
      </c>
      <c r="G31" s="352">
        <f>0.74*B24*(1-0.2333/SQRT(B23/B24)*E26)*1000</f>
        <v>46027.3244612735</v>
      </c>
    </row>
    <row r="32" spans="1:7" x14ac:dyDescent="0.2">
      <c r="A32" s="351" t="s">
        <v>218</v>
      </c>
      <c r="B32" s="196">
        <f>1.116*SQRT(B23/B24)</f>
        <v>23.572547266160793</v>
      </c>
      <c r="C32" s="196">
        <f>1.409*SQRT(B23/B24)</f>
        <v>29.761397041237057</v>
      </c>
      <c r="D32" s="196">
        <f>2.143*SQRT(B23/B24)</f>
        <v>45.265205010199438</v>
      </c>
      <c r="E32" s="196">
        <f>0.65*B24*1000</f>
        <v>42250</v>
      </c>
      <c r="F32" s="196">
        <f>1.152*B24*(1-0.39/SQRT(B23/B24)*E26)*1000</f>
        <v>69486.111687543904</v>
      </c>
      <c r="G32" s="352">
        <f>0.75*B24*(1-0.2197/SQRT(B23/B24)*E26)*1000</f>
        <v>46771.772732627869</v>
      </c>
    </row>
    <row r="33" spans="1:7" x14ac:dyDescent="0.2">
      <c r="A33" s="351" t="s">
        <v>219</v>
      </c>
      <c r="B33" s="196">
        <f>1.116*SQRT(B23/B24)</f>
        <v>23.572547266160793</v>
      </c>
      <c r="C33" s="196">
        <f>1.527*SQRT(B23/B24)</f>
        <v>32.253834834612483</v>
      </c>
      <c r="D33" s="196">
        <f>2.143*SQRT(B23/B24)</f>
        <v>45.265205010199438</v>
      </c>
      <c r="E33" s="196">
        <f>0.64*B24*1000</f>
        <v>41600</v>
      </c>
      <c r="F33" s="196">
        <f>0.964*B24*(1-0.3014/SQRT(B23/B24)*E26)*1000</f>
        <v>59171.769739074087</v>
      </c>
      <c r="G33" s="352">
        <f>0.74*B24*(1-0.1941/SQRT(B23/B24)*E26)*1000</f>
        <v>46375.583703099808</v>
      </c>
    </row>
    <row r="34" spans="1:7" x14ac:dyDescent="0.2">
      <c r="A34" s="351" t="s">
        <v>221</v>
      </c>
      <c r="B34" s="196">
        <f>1.116*SQRT(B23/B24)</f>
        <v>23.572547266160793</v>
      </c>
      <c r="C34" s="196">
        <f>1.527*SQRT(B23/B24)</f>
        <v>32.253834834612483</v>
      </c>
      <c r="D34" s="196">
        <f>2.143*SQRT(B23/B24)</f>
        <v>45.265205010199438</v>
      </c>
      <c r="E34" s="196">
        <f>0.6*B24*1000</f>
        <v>39000</v>
      </c>
      <c r="F34" s="196">
        <f>0.815*B24*(1-0.2374/SQRT(B23/B24)*E26)*1000</f>
        <v>50652.13919029932</v>
      </c>
      <c r="G34" s="352">
        <f>0.74*B24*(1-0.1941/SQRT(B23/B24)*E26)*1000</f>
        <v>46375.583703099808</v>
      </c>
    </row>
    <row r="35" spans="1:7" x14ac:dyDescent="0.2">
      <c r="A35" s="321"/>
      <c r="B35" s="316"/>
      <c r="C35" s="316"/>
      <c r="D35" s="316"/>
      <c r="E35" s="316"/>
      <c r="F35" s="316"/>
      <c r="G35" s="317"/>
    </row>
    <row r="36" spans="1:7" x14ac:dyDescent="0.2">
      <c r="A36" s="321"/>
      <c r="B36" s="316"/>
      <c r="C36" s="316"/>
      <c r="D36" s="316"/>
      <c r="E36" s="316"/>
      <c r="F36" s="316"/>
      <c r="G36" s="317"/>
    </row>
    <row r="37" spans="1:7" x14ac:dyDescent="0.2">
      <c r="A37" s="218" t="s">
        <v>638</v>
      </c>
      <c r="B37" s="316"/>
      <c r="C37" s="316"/>
      <c r="D37" s="316"/>
      <c r="E37" s="316"/>
      <c r="F37" s="316"/>
      <c r="G37" s="317"/>
    </row>
    <row r="38" spans="1:7" x14ac:dyDescent="0.2">
      <c r="A38" s="218"/>
      <c r="B38" s="316"/>
      <c r="C38" s="316"/>
      <c r="D38" s="316"/>
      <c r="E38" s="316"/>
      <c r="F38" s="316"/>
      <c r="G38" s="317"/>
    </row>
    <row r="39" spans="1:7" x14ac:dyDescent="0.2">
      <c r="A39" s="318" t="s">
        <v>271</v>
      </c>
      <c r="B39" s="138">
        <f>Post!F20</f>
        <v>1.5</v>
      </c>
      <c r="C39" s="316" t="s">
        <v>272</v>
      </c>
      <c r="D39" s="316"/>
      <c r="E39" s="316"/>
      <c r="F39" s="316"/>
      <c r="G39" s="317"/>
    </row>
    <row r="40" spans="1:7" x14ac:dyDescent="0.2">
      <c r="A40" s="318" t="s">
        <v>274</v>
      </c>
      <c r="B40" s="138" t="str">
        <f>Post!$B$18</f>
        <v>12-sided</v>
      </c>
      <c r="C40" s="316"/>
      <c r="D40" s="316"/>
      <c r="E40" s="316"/>
      <c r="F40" s="316"/>
      <c r="G40" s="317"/>
    </row>
    <row r="41" spans="1:7" x14ac:dyDescent="0.2">
      <c r="A41" s="318" t="s">
        <v>264</v>
      </c>
      <c r="B41" s="138">
        <v>29000</v>
      </c>
      <c r="C41" s="316" t="s">
        <v>45</v>
      </c>
      <c r="D41" s="170" t="s">
        <v>127</v>
      </c>
      <c r="E41" s="197">
        <f>IF(B40="Round","N/A",TAN(RADIANS(180/E42))*(B43-2*B44-3*B44))</f>
        <v>1.3504639298528585</v>
      </c>
      <c r="F41" s="171" t="s">
        <v>1</v>
      </c>
      <c r="G41" s="317"/>
    </row>
    <row r="42" spans="1:7" ht="15.75" x14ac:dyDescent="0.2">
      <c r="A42" s="318" t="s">
        <v>199</v>
      </c>
      <c r="B42" s="138">
        <f>Post!$A$9/1000</f>
        <v>65</v>
      </c>
      <c r="C42" s="316" t="s">
        <v>45</v>
      </c>
      <c r="D42" s="170" t="s">
        <v>277</v>
      </c>
      <c r="E42" s="138">
        <f>VLOOKUP(B40,'Pick List Data'!$A$74:$B$78,2,0)</f>
        <v>12</v>
      </c>
      <c r="F42" s="171" t="s">
        <v>278</v>
      </c>
      <c r="G42" s="317"/>
    </row>
    <row r="43" spans="1:7" x14ac:dyDescent="0.2">
      <c r="A43" s="318" t="s">
        <v>273</v>
      </c>
      <c r="B43" s="197">
        <f>Post!F21</f>
        <v>6.29</v>
      </c>
      <c r="C43" s="316" t="s">
        <v>1</v>
      </c>
      <c r="D43" s="316"/>
      <c r="E43" s="316"/>
      <c r="F43" s="316"/>
      <c r="G43" s="317"/>
    </row>
    <row r="44" spans="1:7" x14ac:dyDescent="0.2">
      <c r="A44" s="318" t="s">
        <v>147</v>
      </c>
      <c r="B44" s="138">
        <f>Post!$B$24</f>
        <v>0.25</v>
      </c>
      <c r="C44" s="316" t="s">
        <v>1</v>
      </c>
      <c r="D44" s="319" t="s">
        <v>279</v>
      </c>
      <c r="E44" s="196">
        <f>IF(B40="Round",B43/B44,E41/B44)</f>
        <v>5.4018557194114338</v>
      </c>
      <c r="F44" s="316"/>
      <c r="G44" s="317"/>
    </row>
    <row r="45" spans="1:7" x14ac:dyDescent="0.2">
      <c r="A45" s="318"/>
      <c r="B45" s="316"/>
      <c r="C45" s="316"/>
      <c r="D45" s="316"/>
      <c r="E45" s="316"/>
      <c r="F45" s="316"/>
      <c r="G45" s="317"/>
    </row>
    <row r="46" spans="1:7" x14ac:dyDescent="0.2">
      <c r="A46" s="941" t="s">
        <v>216</v>
      </c>
      <c r="B46" s="943" t="s">
        <v>267</v>
      </c>
      <c r="C46" s="944"/>
      <c r="D46" s="945"/>
      <c r="E46" s="943" t="s">
        <v>270</v>
      </c>
      <c r="F46" s="944"/>
      <c r="G46" s="946"/>
    </row>
    <row r="47" spans="1:7" ht="38.25" x14ac:dyDescent="0.2">
      <c r="A47" s="942"/>
      <c r="B47" s="167" t="s">
        <v>261</v>
      </c>
      <c r="C47" s="167" t="s">
        <v>262</v>
      </c>
      <c r="D47" s="167" t="s">
        <v>263</v>
      </c>
      <c r="E47" s="167" t="s">
        <v>446</v>
      </c>
      <c r="F47" s="167" t="s">
        <v>268</v>
      </c>
      <c r="G47" s="320" t="s">
        <v>269</v>
      </c>
    </row>
    <row r="48" spans="1:7" x14ac:dyDescent="0.2">
      <c r="A48" s="351" t="s">
        <v>217</v>
      </c>
      <c r="B48" s="196">
        <f>0.1259*B41/B42</f>
        <v>56.170769230769238</v>
      </c>
      <c r="C48" s="196">
        <f>0.2616*B41/B42</f>
        <v>116.71384615384615</v>
      </c>
      <c r="D48" s="196">
        <f>0.4483*B41/B42</f>
        <v>200.01076923076923</v>
      </c>
      <c r="E48" s="196">
        <f>0.66*B42*1000</f>
        <v>42900</v>
      </c>
      <c r="F48" s="196">
        <f>(0.39+(B41/B42)/(29.41*E44))*B42*1000</f>
        <v>207890.81833515732</v>
      </c>
      <c r="G48" s="352">
        <f>(0.39+(B41/B42)/(29.41*E44))*B42*1000</f>
        <v>207890.81833515732</v>
      </c>
    </row>
    <row r="49" spans="1:7" x14ac:dyDescent="0.2">
      <c r="A49" s="351" t="s">
        <v>220</v>
      </c>
      <c r="B49" s="196">
        <f>1.116*SQRT(B41/B42)</f>
        <v>23.572547266160793</v>
      </c>
      <c r="C49" s="196">
        <f>1.263*SQRT(B41/B42)</f>
        <v>26.677533330789498</v>
      </c>
      <c r="D49" s="196">
        <f>2.143*SQRT(B41/B42)</f>
        <v>45.265205010199438</v>
      </c>
      <c r="E49" s="196">
        <f>0.66*B42*1000</f>
        <v>42900</v>
      </c>
      <c r="F49" s="196">
        <f>1.709*B42*(1-0.55/SQRT(B41/B42)*E44)*1000</f>
        <v>95460.045243795903</v>
      </c>
      <c r="G49" s="352">
        <f>0.74*B42*(1-0.2333/SQRT(B41/B42)*E44)*1000</f>
        <v>45230.141561763303</v>
      </c>
    </row>
    <row r="50" spans="1:7" x14ac:dyDescent="0.2">
      <c r="A50" s="351" t="s">
        <v>218</v>
      </c>
      <c r="B50" s="196">
        <f>1.116*SQRT(B41/B42)</f>
        <v>23.572547266160793</v>
      </c>
      <c r="C50" s="196">
        <f>1.409*SQRT(B41/B42)</f>
        <v>29.761397041237057</v>
      </c>
      <c r="D50" s="196">
        <f>2.143*SQRT(B41/B42)</f>
        <v>45.265205010199438</v>
      </c>
      <c r="E50" s="196">
        <f>0.65*B42*1000</f>
        <v>42250</v>
      </c>
      <c r="F50" s="196">
        <f>1.152*B42*(1-0.39/SQRT(B41/B42)*E44)*1000</f>
        <v>67411.539259676181</v>
      </c>
      <c r="G50" s="352">
        <f>0.75*B42*(1-0.2197/SQRT(B41/B42)*E44)*1000</f>
        <v>46010.916091330888</v>
      </c>
    </row>
    <row r="51" spans="1:7" x14ac:dyDescent="0.2">
      <c r="A51" s="351" t="s">
        <v>219</v>
      </c>
      <c r="B51" s="196">
        <f>1.116*SQRT(B41/B42)</f>
        <v>23.572547266160793</v>
      </c>
      <c r="C51" s="196">
        <f>1.527*SQRT(B41/B42)</f>
        <v>32.253834834612483</v>
      </c>
      <c r="D51" s="196">
        <f>2.143*SQRT(B41/B42)</f>
        <v>45.265205010199438</v>
      </c>
      <c r="E51" s="196">
        <f>0.64*B42*1000</f>
        <v>41600</v>
      </c>
      <c r="F51" s="196">
        <f>0.964*B42*(1-0.3014/SQRT(B41/B42)*E44)*1000</f>
        <v>57830.14271564105</v>
      </c>
      <c r="G51" s="352">
        <f>0.74*B42*(1-0.1941/SQRT(B41/B42)*E44)*1000</f>
        <v>45712.346665830511</v>
      </c>
    </row>
    <row r="52" spans="1:7" x14ac:dyDescent="0.2">
      <c r="A52" s="351" t="s">
        <v>221</v>
      </c>
      <c r="B52" s="196">
        <f>1.116*SQRT(B41/B42)</f>
        <v>23.572547266160793</v>
      </c>
      <c r="C52" s="196">
        <f>1.527*SQRT(B41/B42)</f>
        <v>32.253834834612483</v>
      </c>
      <c r="D52" s="196">
        <f>2.143*SQRT(B41/B42)</f>
        <v>45.265205010199438</v>
      </c>
      <c r="E52" s="196">
        <f>0.6*B42*1000</f>
        <v>39000</v>
      </c>
      <c r="F52" s="196">
        <f>0.815*B42*(1-0.2374/SQRT(B41/B42)*E44)*1000</f>
        <v>49758.7311865683</v>
      </c>
      <c r="G52" s="352">
        <f>0.74*B42*(1-0.1941/SQRT(B41/B42)*E44)*1000</f>
        <v>45712.346665830511</v>
      </c>
    </row>
    <row r="53" spans="1:7" x14ac:dyDescent="0.2">
      <c r="A53" s="321"/>
      <c r="B53" s="316"/>
      <c r="C53" s="316"/>
      <c r="D53" s="316"/>
      <c r="E53" s="316"/>
      <c r="F53" s="316"/>
      <c r="G53" s="317"/>
    </row>
    <row r="54" spans="1:7" x14ac:dyDescent="0.2">
      <c r="A54" s="321"/>
      <c r="B54" s="316"/>
      <c r="C54" s="316"/>
      <c r="D54" s="316"/>
      <c r="E54" s="316"/>
      <c r="F54" s="316"/>
      <c r="G54" s="317"/>
    </row>
    <row r="55" spans="1:7" x14ac:dyDescent="0.2">
      <c r="A55" s="218" t="s">
        <v>638</v>
      </c>
      <c r="B55" s="316"/>
      <c r="C55" s="316"/>
      <c r="D55" s="316"/>
      <c r="E55" s="316"/>
      <c r="F55" s="316"/>
      <c r="G55" s="317"/>
    </row>
    <row r="56" spans="1:7" x14ac:dyDescent="0.2">
      <c r="A56" s="218"/>
      <c r="B56" s="316"/>
      <c r="C56" s="316"/>
      <c r="D56" s="316"/>
      <c r="E56" s="316"/>
      <c r="F56" s="316"/>
      <c r="G56" s="317"/>
    </row>
    <row r="57" spans="1:7" x14ac:dyDescent="0.2">
      <c r="A57" s="318" t="s">
        <v>271</v>
      </c>
      <c r="B57" s="138">
        <f>Post!E20</f>
        <v>0</v>
      </c>
      <c r="C57" s="316" t="s">
        <v>272</v>
      </c>
      <c r="D57" s="316"/>
      <c r="E57" s="316"/>
      <c r="F57" s="316"/>
      <c r="G57" s="317"/>
    </row>
    <row r="58" spans="1:7" x14ac:dyDescent="0.2">
      <c r="A58" s="318" t="s">
        <v>274</v>
      </c>
      <c r="B58" s="138" t="str">
        <f>Post!$B$18</f>
        <v>12-sided</v>
      </c>
      <c r="C58" s="316"/>
      <c r="D58" s="316"/>
      <c r="E58" s="316"/>
      <c r="F58" s="316"/>
      <c r="G58" s="317"/>
    </row>
    <row r="59" spans="1:7" x14ac:dyDescent="0.2">
      <c r="A59" s="318" t="s">
        <v>264</v>
      </c>
      <c r="B59" s="138">
        <v>29000</v>
      </c>
      <c r="C59" s="316" t="s">
        <v>45</v>
      </c>
      <c r="D59" s="170" t="s">
        <v>127</v>
      </c>
      <c r="E59" s="197">
        <f>IF(B58="Round","N/A",TAN(RADIANS(180/E60))*(B61-2*B62-3*B62))</f>
        <v>1.4067332602633942</v>
      </c>
      <c r="F59" s="171" t="s">
        <v>1</v>
      </c>
      <c r="G59" s="317"/>
    </row>
    <row r="60" spans="1:7" ht="15.75" x14ac:dyDescent="0.2">
      <c r="A60" s="318" t="s">
        <v>199</v>
      </c>
      <c r="B60" s="138">
        <f>Post!$A$9/1000</f>
        <v>65</v>
      </c>
      <c r="C60" s="316" t="s">
        <v>45</v>
      </c>
      <c r="D60" s="170" t="s">
        <v>277</v>
      </c>
      <c r="E60" s="138">
        <f>VLOOKUP(B58,'Pick List Data'!$A$74:$B$78,2,0)</f>
        <v>12</v>
      </c>
      <c r="F60" s="171" t="s">
        <v>278</v>
      </c>
      <c r="G60" s="317"/>
    </row>
    <row r="61" spans="1:7" x14ac:dyDescent="0.2">
      <c r="A61" s="318" t="s">
        <v>273</v>
      </c>
      <c r="B61" s="197">
        <f>Post!E21</f>
        <v>6.5</v>
      </c>
      <c r="C61" s="316" t="s">
        <v>1</v>
      </c>
      <c r="D61" s="316"/>
      <c r="E61" s="316"/>
      <c r="F61" s="316"/>
      <c r="G61" s="317"/>
    </row>
    <row r="62" spans="1:7" x14ac:dyDescent="0.2">
      <c r="A62" s="318" t="s">
        <v>147</v>
      </c>
      <c r="B62" s="138">
        <f>Post!$B$24</f>
        <v>0.25</v>
      </c>
      <c r="C62" s="316" t="s">
        <v>1</v>
      </c>
      <c r="D62" s="319" t="s">
        <v>279</v>
      </c>
      <c r="E62" s="196">
        <f>IF(B58="Round",B61/B62,E59/B62)</f>
        <v>5.6269330410535767</v>
      </c>
      <c r="F62" s="316"/>
      <c r="G62" s="317"/>
    </row>
    <row r="63" spans="1:7" x14ac:dyDescent="0.2">
      <c r="A63" s="318"/>
      <c r="B63" s="316"/>
      <c r="C63" s="316"/>
      <c r="D63" s="316"/>
      <c r="E63" s="316"/>
      <c r="F63" s="316"/>
      <c r="G63" s="317"/>
    </row>
    <row r="64" spans="1:7" x14ac:dyDescent="0.2">
      <c r="A64" s="941" t="s">
        <v>216</v>
      </c>
      <c r="B64" s="943" t="s">
        <v>267</v>
      </c>
      <c r="C64" s="944"/>
      <c r="D64" s="945"/>
      <c r="E64" s="943" t="s">
        <v>270</v>
      </c>
      <c r="F64" s="944"/>
      <c r="G64" s="946"/>
    </row>
    <row r="65" spans="1:7" ht="38.25" x14ac:dyDescent="0.2">
      <c r="A65" s="942"/>
      <c r="B65" s="167" t="s">
        <v>261</v>
      </c>
      <c r="C65" s="167" t="s">
        <v>262</v>
      </c>
      <c r="D65" s="167" t="s">
        <v>263</v>
      </c>
      <c r="E65" s="167" t="s">
        <v>446</v>
      </c>
      <c r="F65" s="167" t="s">
        <v>268</v>
      </c>
      <c r="G65" s="320" t="s">
        <v>269</v>
      </c>
    </row>
    <row r="66" spans="1:7" x14ac:dyDescent="0.2">
      <c r="A66" s="351" t="s">
        <v>217</v>
      </c>
      <c r="B66" s="196">
        <f>0.1259*B59/B60</f>
        <v>56.170769230769238</v>
      </c>
      <c r="C66" s="196">
        <f>0.2616*B59/B60</f>
        <v>116.71384615384615</v>
      </c>
      <c r="D66" s="196">
        <f>0.4483*B59/B60</f>
        <v>200.01076923076923</v>
      </c>
      <c r="E66" s="196">
        <f>0.66*B60*1000</f>
        <v>42900</v>
      </c>
      <c r="F66" s="196">
        <f>(0.39+(B59/B60)/(29.41*E62))*B60*1000</f>
        <v>200589.185601751</v>
      </c>
      <c r="G66" s="352">
        <f>(0.39+(B59/B60)/(29.41*E62))*B60*1000</f>
        <v>200589.185601751</v>
      </c>
    </row>
    <row r="67" spans="1:7" x14ac:dyDescent="0.2">
      <c r="A67" s="351" t="s">
        <v>220</v>
      </c>
      <c r="B67" s="196">
        <f>1.116*SQRT(B59/B60)</f>
        <v>23.572547266160793</v>
      </c>
      <c r="C67" s="196">
        <f>1.263*SQRT(B59/B60)</f>
        <v>26.677533330789498</v>
      </c>
      <c r="D67" s="196">
        <f>2.143*SQRT(B59/B60)</f>
        <v>45.265205010199438</v>
      </c>
      <c r="E67" s="196">
        <f>0.66*B60*1000</f>
        <v>42900</v>
      </c>
      <c r="F67" s="196">
        <f>1.709*B60*(1-0.55/SQRT(B59/B60)*E62)*1000</f>
        <v>94809.005462287416</v>
      </c>
      <c r="G67" s="352">
        <f>0.74*B60*(1-0.2333/SQRT(B59/B60)*E62)*1000</f>
        <v>45110.564126836769</v>
      </c>
    </row>
    <row r="68" spans="1:7" x14ac:dyDescent="0.2">
      <c r="A68" s="351" t="s">
        <v>218</v>
      </c>
      <c r="B68" s="196">
        <f>1.116*SQRT(B59/B60)</f>
        <v>23.572547266160793</v>
      </c>
      <c r="C68" s="196">
        <f>1.409*SQRT(B59/B60)</f>
        <v>29.761397041237057</v>
      </c>
      <c r="D68" s="196">
        <f>2.143*SQRT(B59/B60)</f>
        <v>45.265205010199438</v>
      </c>
      <c r="E68" s="196">
        <f>0.65*B60*1000</f>
        <v>42250</v>
      </c>
      <c r="F68" s="196">
        <f>1.152*B60*(1-0.39/SQRT(B59/B60)*E62)*1000</f>
        <v>67100.353395496015</v>
      </c>
      <c r="G68" s="352">
        <f>0.75*B60*(1-0.2197/SQRT(B59/B60)*E62)*1000</f>
        <v>45896.787595136346</v>
      </c>
    </row>
    <row r="69" spans="1:7" x14ac:dyDescent="0.2">
      <c r="A69" s="351" t="s">
        <v>219</v>
      </c>
      <c r="B69" s="196">
        <f>1.116*SQRT(B59/B60)</f>
        <v>23.572547266160793</v>
      </c>
      <c r="C69" s="196">
        <f>1.527*SQRT(B59/B60)</f>
        <v>32.253834834612483</v>
      </c>
      <c r="D69" s="196">
        <f>2.143*SQRT(B59/B60)</f>
        <v>45.265205010199438</v>
      </c>
      <c r="E69" s="196">
        <f>0.64*B60*1000</f>
        <v>41600</v>
      </c>
      <c r="F69" s="196">
        <f>0.964*B60*(1-0.3014/SQRT(B59/B60)*E62)*1000</f>
        <v>57628.898662126092</v>
      </c>
      <c r="G69" s="352">
        <f>0.74*B60*(1-0.1941/SQRT(B59/B60)*E62)*1000</f>
        <v>45612.861110240112</v>
      </c>
    </row>
    <row r="70" spans="1:7" x14ac:dyDescent="0.2">
      <c r="A70" s="351" t="s">
        <v>221</v>
      </c>
      <c r="B70" s="196">
        <f>1.116*SQRT(B59/B60)</f>
        <v>23.572547266160793</v>
      </c>
      <c r="C70" s="196">
        <f>1.527*SQRT(B59/B60)</f>
        <v>32.253834834612483</v>
      </c>
      <c r="D70" s="196">
        <f>2.143*SQRT(B59/B60)</f>
        <v>45.265205010199438</v>
      </c>
      <c r="E70" s="196">
        <f>0.6*B60*1000</f>
        <v>39000</v>
      </c>
      <c r="F70" s="196">
        <f>0.815*B60*(1-0.2374/SQRT(B59/B60)*E62)*1000</f>
        <v>49624.71998600864</v>
      </c>
      <c r="G70" s="352">
        <f>0.74*B60*(1-0.1941/SQRT(B59/B60)*E62)*1000</f>
        <v>45612.861110240112</v>
      </c>
    </row>
    <row r="71" spans="1:7" ht="13.5" thickBot="1" x14ac:dyDescent="0.25">
      <c r="A71" s="322"/>
      <c r="B71" s="323"/>
      <c r="C71" s="323"/>
      <c r="D71" s="323"/>
      <c r="E71" s="323"/>
      <c r="F71" s="323"/>
      <c r="G71" s="324"/>
    </row>
  </sheetData>
  <sheetProtection password="F828" sheet="1"/>
  <mergeCells count="12">
    <mergeCell ref="A10:A11"/>
    <mergeCell ref="B10:D10"/>
    <mergeCell ref="E10:G10"/>
    <mergeCell ref="A28:A29"/>
    <mergeCell ref="B28:D28"/>
    <mergeCell ref="E28:G28"/>
    <mergeCell ref="A46:A47"/>
    <mergeCell ref="B46:D46"/>
    <mergeCell ref="E46:G46"/>
    <mergeCell ref="A64:A65"/>
    <mergeCell ref="B64:D64"/>
    <mergeCell ref="E64:G64"/>
  </mergeCells>
  <pageMargins left="0.7" right="0.7" top="0.75" bottom="0.75" header="0.3" footer="0.3"/>
  <pageSetup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Introduction &amp; Revisions</vt:lpstr>
      <vt:lpstr>Instruction and Input Diagrams</vt:lpstr>
      <vt:lpstr>Input</vt:lpstr>
      <vt:lpstr>Output</vt:lpstr>
      <vt:lpstr>Post</vt:lpstr>
      <vt:lpstr>Base Plate</vt:lpstr>
      <vt:lpstr>Pick List Data</vt:lpstr>
      <vt:lpstr>Maximum Stress Tables</vt:lpstr>
      <vt:lpstr>Allowable Stress Tables</vt:lpstr>
      <vt:lpstr>'Base Plate'!Print_Area</vt:lpstr>
      <vt:lpstr>Input!Print_Area</vt:lpstr>
      <vt:lpstr>'Instruction and Input Diagrams'!Print_Area</vt:lpstr>
      <vt:lpstr>'Introduction &amp; Revisions'!Print_Area</vt:lpstr>
      <vt:lpstr>Output!Print_Area</vt:lpstr>
      <vt:lpstr>Post!Print_Area</vt:lpstr>
      <vt:lpstr>Input!Print_Titles</vt:lpstr>
      <vt:lpstr>'Introduction &amp; Revisions'!Print_Titles</vt:lpstr>
      <vt:lpstr>Output!Print_Titles</vt:lpstr>
      <vt:lpstr>Post!Print_Titles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Flanagan, Benjamin</dc:creator>
  <cp:lastModifiedBy>Gault, Steve</cp:lastModifiedBy>
  <cp:lastPrinted>2012-07-02T02:17:49Z</cp:lastPrinted>
  <dcterms:created xsi:type="dcterms:W3CDTF">2010-12-28T20:35:01Z</dcterms:created>
  <dcterms:modified xsi:type="dcterms:W3CDTF">2022-03-29T18:19:56Z</dcterms:modified>
</cp:coreProperties>
</file>