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426"/>
  <workbookPr codeName="ThisWorkbook"/>
  <mc:AlternateContent xmlns:mc="http://schemas.openxmlformats.org/markup-compatibility/2006">
    <mc:Choice Requires="x15">
      <x15ac:absPath xmlns:x15ac="http://schemas.microsoft.com/office/spreadsheetml/2010/11/ac" url="H:\Desktop\"/>
    </mc:Choice>
  </mc:AlternateContent>
  <bookViews>
    <workbookView xWindow="0" yWindow="0" windowWidth="28800" windowHeight="11760" tabRatio="680"/>
  </bookViews>
  <sheets>
    <sheet name="Information" sheetId="24" r:id="rId1"/>
    <sheet name="Inputs&amp;Findings" sheetId="23" r:id="rId2"/>
    <sheet name="Figure 1" sheetId="8" r:id="rId3"/>
    <sheet name="Figure 2" sheetId="5" r:id="rId4"/>
    <sheet name="Figure 3" sheetId="12" r:id="rId5"/>
    <sheet name="Figure 4" sheetId="6" r:id="rId6"/>
    <sheet name="Figure 5" sheetId="9" r:id="rId7"/>
    <sheet name="Figure 6" sheetId="7" r:id="rId8"/>
    <sheet name="Figure 7" sheetId="27" r:id="rId9"/>
    <sheet name="Figure 8" sheetId="28" r:id="rId10"/>
    <sheet name="Left-Warrant 2-lane" sheetId="2" state="hidden" r:id="rId11"/>
    <sheet name="Left-Warrant 4-Lane" sheetId="26" state="hidden" r:id="rId12"/>
    <sheet name="Figure 9" sheetId="19" r:id="rId13"/>
    <sheet name="Figure 10" sheetId="20" r:id="rId14"/>
    <sheet name="Figure 11" sheetId="21" r:id="rId15"/>
    <sheet name="Figure 12" sheetId="22" r:id="rId16"/>
    <sheet name="Right-Warrant" sheetId="18" state="hidden" r:id="rId17"/>
    <sheet name="Lists" sheetId="25" state="hidden" r:id="rId18"/>
  </sheets>
  <externalReferences>
    <externalReference r:id="rId19"/>
  </externalReferences>
  <definedNames>
    <definedName name="approach">Lists!$A$61:$A$62</definedName>
    <definedName name="counties">Lists!$B$2:$B$68</definedName>
    <definedName name="county">'[1]Input&amp;Findings'!$AX$66:$AX$132</definedName>
    <definedName name="cycles">Lists!$A$65:$A$69</definedName>
    <definedName name="cycles2">Lists!$A$65:$A$68</definedName>
    <definedName name="decision">Lists!$A$20:$A$21</definedName>
    <definedName name="decision2">Lists!$A$20:$A$22</definedName>
    <definedName name="district">'[1]Input&amp;Findings'!$AW$66:$AW$76</definedName>
    <definedName name="districts">Lists!$A$2:$A$12</definedName>
    <definedName name="divided">Lists!$A$14:$A$15</definedName>
    <definedName name="divided2">Lists!$A$14:$A$16</definedName>
    <definedName name="intcontrol">Lists!$A$35:$A$36</definedName>
    <definedName name="lane">Lists!$A$56:$A$57</definedName>
    <definedName name="_xlnm.Print_Area" localSheetId="0">Information!$A$1:$L$47</definedName>
    <definedName name="_xlnm.Print_Area" localSheetId="1">'Inputs&amp;Findings'!$A$1:$AU$70</definedName>
    <definedName name="speedlimit">Lists!$A$38:$A$50</definedName>
    <definedName name="speedlimit1">Lists!$A$38:$A$47</definedName>
    <definedName name="terrain">Lists!$A$52:$A$54</definedName>
    <definedName name="weekday">Lists!$A$27:$A$33</definedName>
  </definedNames>
  <calcPr calcId="171027"/>
</workbook>
</file>

<file path=xl/calcChain.xml><?xml version="1.0" encoding="utf-8"?>
<calcChain xmlns="http://schemas.openxmlformats.org/spreadsheetml/2006/main">
  <c r="D42" i="26" l="1"/>
  <c r="D43" i="26"/>
  <c r="D44" i="26"/>
  <c r="D45" i="26"/>
  <c r="D46" i="26"/>
  <c r="D47" i="26"/>
  <c r="D48" i="26"/>
  <c r="D49" i="26"/>
  <c r="D50" i="26"/>
  <c r="D51" i="26"/>
  <c r="D52" i="26"/>
  <c r="D53" i="26"/>
  <c r="D54" i="26"/>
  <c r="D55" i="26"/>
  <c r="D56" i="26"/>
  <c r="D57" i="26"/>
  <c r="D58" i="26"/>
  <c r="D59" i="26"/>
  <c r="D60" i="26"/>
  <c r="D61" i="26"/>
  <c r="D62" i="26"/>
  <c r="D63" i="26"/>
  <c r="D64" i="26"/>
  <c r="D65" i="26"/>
  <c r="D66" i="26"/>
  <c r="D67" i="26"/>
  <c r="D41" i="26"/>
  <c r="I42" i="26"/>
  <c r="I43" i="26"/>
  <c r="I44" i="26"/>
  <c r="I45" i="26"/>
  <c r="I46" i="26"/>
  <c r="I47" i="26"/>
  <c r="I48" i="26"/>
  <c r="I49" i="26"/>
  <c r="I50" i="26"/>
  <c r="I51" i="26"/>
  <c r="I52" i="26"/>
  <c r="I53" i="26"/>
  <c r="I54" i="26"/>
  <c r="I55" i="26"/>
  <c r="I56" i="26"/>
  <c r="I57" i="26"/>
  <c r="I58" i="26"/>
  <c r="I59" i="26"/>
  <c r="I60" i="26"/>
  <c r="I61" i="26"/>
  <c r="I62" i="26"/>
  <c r="I63" i="26"/>
  <c r="I41" i="26"/>
  <c r="N42" i="26"/>
  <c r="N43" i="26"/>
  <c r="N44" i="26"/>
  <c r="N45" i="26"/>
  <c r="N46" i="26"/>
  <c r="N47" i="26"/>
  <c r="N48" i="26"/>
  <c r="N49" i="26"/>
  <c r="N50" i="26"/>
  <c r="N51" i="26"/>
  <c r="N52" i="26"/>
  <c r="N53" i="26"/>
  <c r="N54" i="26"/>
  <c r="N55" i="26"/>
  <c r="N41" i="26"/>
  <c r="S42" i="26"/>
  <c r="S43" i="26"/>
  <c r="S44" i="26"/>
  <c r="S45" i="26"/>
  <c r="S46" i="26"/>
  <c r="S47" i="26"/>
  <c r="S48" i="26"/>
  <c r="S49" i="26"/>
  <c r="S50" i="26"/>
  <c r="S51" i="26"/>
  <c r="S52" i="26"/>
  <c r="S53" i="26"/>
  <c r="S54" i="26"/>
  <c r="S55" i="26"/>
  <c r="S56" i="26"/>
  <c r="S57" i="26"/>
  <c r="S58" i="26"/>
  <c r="S59" i="26"/>
  <c r="S60" i="26"/>
  <c r="S61" i="26"/>
  <c r="S62" i="26"/>
  <c r="S63" i="26"/>
  <c r="S64" i="26"/>
  <c r="S65" i="26"/>
  <c r="S66" i="26"/>
  <c r="S67" i="26"/>
  <c r="S68" i="26"/>
  <c r="S69" i="26"/>
  <c r="S70" i="26"/>
  <c r="S71" i="26"/>
  <c r="S72" i="26"/>
  <c r="S73" i="26"/>
  <c r="S74" i="26"/>
  <c r="S75" i="26"/>
  <c r="S41" i="26"/>
  <c r="S4" i="26"/>
  <c r="S5" i="26"/>
  <c r="S6" i="26"/>
  <c r="S7" i="26"/>
  <c r="S8" i="26"/>
  <c r="S9" i="26"/>
  <c r="S10" i="26"/>
  <c r="S11" i="26"/>
  <c r="S12" i="26"/>
  <c r="S13" i="26"/>
  <c r="S14" i="26"/>
  <c r="S15" i="26"/>
  <c r="S16" i="26"/>
  <c r="S17" i="26"/>
  <c r="S18" i="26"/>
  <c r="S19" i="26"/>
  <c r="S20" i="26"/>
  <c r="S21" i="26"/>
  <c r="S22" i="26"/>
  <c r="S23" i="26"/>
  <c r="S24" i="26"/>
  <c r="S25" i="26"/>
  <c r="S3" i="26"/>
  <c r="N4" i="26"/>
  <c r="N5" i="26"/>
  <c r="N6" i="26"/>
  <c r="N7" i="26"/>
  <c r="N8" i="26"/>
  <c r="N9" i="26"/>
  <c r="N10" i="26"/>
  <c r="N11" i="26"/>
  <c r="N12" i="26"/>
  <c r="N13" i="26"/>
  <c r="N14" i="26"/>
  <c r="N15" i="26"/>
  <c r="N16" i="26"/>
  <c r="N17" i="26"/>
  <c r="N18" i="26"/>
  <c r="N19" i="26"/>
  <c r="N20" i="26"/>
  <c r="N21" i="26"/>
  <c r="N22" i="26"/>
  <c r="N23" i="26"/>
  <c r="N24" i="26"/>
  <c r="N25" i="26"/>
  <c r="N26" i="26"/>
  <c r="N27" i="26"/>
  <c r="N28" i="26"/>
  <c r="N29" i="26"/>
  <c r="N3" i="26"/>
  <c r="D4" i="26"/>
  <c r="D5" i="26"/>
  <c r="D6" i="26"/>
  <c r="D7" i="26"/>
  <c r="D8" i="26"/>
  <c r="D9" i="26"/>
  <c r="D10" i="26"/>
  <c r="D11" i="26"/>
  <c r="D12" i="26"/>
  <c r="D13" i="26"/>
  <c r="D14" i="26"/>
  <c r="D15" i="26"/>
  <c r="D16" i="26"/>
  <c r="D17" i="26"/>
  <c r="D18" i="26"/>
  <c r="D19" i="26"/>
  <c r="D20" i="26"/>
  <c r="D21" i="26"/>
  <c r="D22" i="26"/>
  <c r="D23" i="26"/>
  <c r="D24" i="26"/>
  <c r="D25" i="26"/>
  <c r="D26" i="26"/>
  <c r="D27" i="26"/>
  <c r="D28" i="26"/>
  <c r="D29" i="26"/>
  <c r="D30" i="26"/>
  <c r="D31" i="26"/>
  <c r="D32" i="26"/>
  <c r="D33" i="26"/>
  <c r="D34" i="26"/>
  <c r="D35" i="26"/>
  <c r="D36" i="26"/>
  <c r="D37" i="26"/>
  <c r="D3" i="26"/>
  <c r="I4" i="26"/>
  <c r="I5" i="26"/>
  <c r="I6" i="26"/>
  <c r="I7" i="26"/>
  <c r="I8" i="26"/>
  <c r="I9" i="26"/>
  <c r="I10" i="26"/>
  <c r="I11" i="26"/>
  <c r="I12" i="26"/>
  <c r="I13" i="26"/>
  <c r="I14" i="26"/>
  <c r="I15" i="26"/>
  <c r="I16" i="26"/>
  <c r="I17" i="26"/>
  <c r="I18" i="26"/>
  <c r="I19" i="26"/>
  <c r="I20" i="26"/>
  <c r="I21" i="26"/>
  <c r="I22" i="26"/>
  <c r="I23" i="26"/>
  <c r="I24" i="26"/>
  <c r="I25" i="26"/>
  <c r="I26" i="26"/>
  <c r="I27" i="26"/>
  <c r="I28" i="26"/>
  <c r="I29" i="26"/>
  <c r="I3" i="26"/>
  <c r="M40" i="23" l="1"/>
  <c r="BU4" i="23"/>
  <c r="BT4" i="23"/>
  <c r="BS4" i="23"/>
  <c r="D44" i="18"/>
  <c r="D14" i="18"/>
  <c r="B135" i="18"/>
  <c r="C135" i="18" s="1"/>
  <c r="B125" i="18"/>
  <c r="C125" i="18" s="1"/>
  <c r="B105" i="18"/>
  <c r="C105" i="18" s="1"/>
  <c r="B65" i="18"/>
  <c r="C65" i="18" s="1"/>
  <c r="B45" i="18"/>
  <c r="C45" i="18" s="1"/>
  <c r="B15" i="18"/>
  <c r="C15" i="18" s="1"/>
  <c r="D15" i="18" s="1"/>
  <c r="B46" i="18" l="1"/>
  <c r="C46" i="18" s="1"/>
  <c r="B16" i="18"/>
  <c r="B66" i="18"/>
  <c r="B106" i="18"/>
  <c r="B126" i="18"/>
  <c r="B136" i="18"/>
  <c r="AG62" i="23"/>
  <c r="AG59" i="23"/>
  <c r="B47" i="18" l="1"/>
  <c r="B48" i="18" s="1"/>
  <c r="C66" i="18"/>
  <c r="B67" i="18"/>
  <c r="C16" i="18"/>
  <c r="D16" i="18" s="1"/>
  <c r="B17" i="18"/>
  <c r="B127" i="18"/>
  <c r="C126" i="18"/>
  <c r="B137" i="18"/>
  <c r="C137" i="18" s="1"/>
  <c r="C136" i="18"/>
  <c r="B107" i="18"/>
  <c r="C106" i="18"/>
  <c r="C47" i="18"/>
  <c r="N46" i="23"/>
  <c r="B128" i="18" l="1"/>
  <c r="C127" i="18"/>
  <c r="B49" i="18"/>
  <c r="C48" i="18"/>
  <c r="B108" i="18"/>
  <c r="C107" i="18"/>
  <c r="B18" i="18"/>
  <c r="C17" i="18"/>
  <c r="D17" i="18" s="1"/>
  <c r="B68" i="18"/>
  <c r="C67" i="18"/>
  <c r="AK40" i="23"/>
  <c r="BN52" i="23" l="1"/>
  <c r="BN50" i="23"/>
  <c r="BN49" i="23"/>
  <c r="BN51" i="23"/>
  <c r="B69" i="18"/>
  <c r="C68" i="18"/>
  <c r="B19" i="18"/>
  <c r="C18" i="18"/>
  <c r="D18" i="18" s="1"/>
  <c r="B109" i="18"/>
  <c r="C108" i="18"/>
  <c r="B50" i="18"/>
  <c r="C49" i="18"/>
  <c r="B129" i="18"/>
  <c r="C128" i="18"/>
  <c r="BK24" i="23"/>
  <c r="BS5" i="23"/>
  <c r="BP38" i="23" s="1"/>
  <c r="BR4" i="23"/>
  <c r="BQ4" i="23"/>
  <c r="BP4" i="23"/>
  <c r="BO4" i="23"/>
  <c r="BN4" i="23"/>
  <c r="BQ10" i="23"/>
  <c r="BP10" i="23"/>
  <c r="BO10" i="23"/>
  <c r="BN10" i="23"/>
  <c r="BF7" i="23"/>
  <c r="BF14" i="23"/>
  <c r="BE27" i="23"/>
  <c r="BE15" i="23"/>
  <c r="BE28" i="23" s="1"/>
  <c r="BH14" i="23"/>
  <c r="BI14" i="23" s="1"/>
  <c r="B130" i="18" l="1"/>
  <c r="C129" i="18"/>
  <c r="B51" i="18"/>
  <c r="C50" i="18"/>
  <c r="B110" i="18"/>
  <c r="C109" i="18"/>
  <c r="B20" i="18"/>
  <c r="C19" i="18"/>
  <c r="D19" i="18" s="1"/>
  <c r="B70" i="18"/>
  <c r="C69" i="18"/>
  <c r="BK27" i="23"/>
  <c r="BK33" i="23"/>
  <c r="BK31" i="23"/>
  <c r="BK29" i="23"/>
  <c r="BK34" i="23"/>
  <c r="BK32" i="23"/>
  <c r="BK30" i="23"/>
  <c r="BK28" i="23"/>
  <c r="BP37" i="23"/>
  <c r="BN38" i="23"/>
  <c r="BS6" i="23"/>
  <c r="BF15" i="23"/>
  <c r="BH15" i="23"/>
  <c r="BI15" i="23" s="1"/>
  <c r="BE16" i="23"/>
  <c r="BF16" i="23" s="1"/>
  <c r="BL36" i="23"/>
  <c r="W22" i="23" l="1"/>
  <c r="W23" i="23"/>
  <c r="W33" i="23"/>
  <c r="W32" i="23"/>
  <c r="W34" i="23"/>
  <c r="AO34" i="23" s="1"/>
  <c r="B71" i="18"/>
  <c r="C70" i="18"/>
  <c r="B21" i="18"/>
  <c r="C20" i="18"/>
  <c r="D20" i="18" s="1"/>
  <c r="B111" i="18"/>
  <c r="C110" i="18"/>
  <c r="B52" i="18"/>
  <c r="C51" i="18"/>
  <c r="B131" i="18"/>
  <c r="C130" i="18"/>
  <c r="BO38" i="23"/>
  <c r="BQ38" i="23"/>
  <c r="BO37" i="23"/>
  <c r="BE29" i="23"/>
  <c r="BE17" i="23"/>
  <c r="BF17" i="23" s="1"/>
  <c r="BH16" i="23"/>
  <c r="BI16" i="23" s="1"/>
  <c r="W24" i="23"/>
  <c r="W26" i="23"/>
  <c r="W25" i="23"/>
  <c r="W27" i="23"/>
  <c r="AO24" i="23" l="1"/>
  <c r="AO22" i="23"/>
  <c r="BO47" i="23"/>
  <c r="BO51" i="23" s="1"/>
  <c r="BP51" i="23" s="1"/>
  <c r="B132" i="18"/>
  <c r="C131" i="18"/>
  <c r="B53" i="18"/>
  <c r="C52" i="18"/>
  <c r="B112" i="18"/>
  <c r="C111" i="18"/>
  <c r="B22" i="18"/>
  <c r="C21" i="18"/>
  <c r="D21" i="18" s="1"/>
  <c r="B72" i="18"/>
  <c r="C71" i="18"/>
  <c r="BQ12" i="23"/>
  <c r="BT29" i="23" s="1"/>
  <c r="BO12" i="23"/>
  <c r="BN12" i="23"/>
  <c r="BV18" i="23" s="1"/>
  <c r="BP12" i="23"/>
  <c r="AO23" i="23"/>
  <c r="BE30" i="23"/>
  <c r="BE18" i="23"/>
  <c r="BF18" i="23" s="1"/>
  <c r="BH17" i="23"/>
  <c r="BI17" i="23" s="1"/>
  <c r="AO33" i="23"/>
  <c r="BC47" i="23" s="1"/>
  <c r="AO27" i="23" l="1"/>
  <c r="N47" i="23"/>
  <c r="BT6" i="23"/>
  <c r="BU6" i="23"/>
  <c r="BT5" i="23"/>
  <c r="BU5" i="23"/>
  <c r="N3" i="18"/>
  <c r="N4" i="18" s="1"/>
  <c r="AB3" i="18"/>
  <c r="AB4" i="18" s="1"/>
  <c r="F3" i="18"/>
  <c r="F4" i="18" s="1"/>
  <c r="U3" i="18"/>
  <c r="U4" i="18" s="1"/>
  <c r="BO52" i="23"/>
  <c r="BP52" i="23" s="1"/>
  <c r="BO50" i="23"/>
  <c r="BO49" i="23"/>
  <c r="BP49" i="23" s="1"/>
  <c r="BT30" i="23"/>
  <c r="BO11" i="23"/>
  <c r="B73" i="18"/>
  <c r="C72" i="18"/>
  <c r="B23" i="18"/>
  <c r="C22" i="18"/>
  <c r="D22" i="18" s="1"/>
  <c r="B113" i="18"/>
  <c r="C112" i="18"/>
  <c r="B54" i="18"/>
  <c r="C53" i="18"/>
  <c r="B133" i="18"/>
  <c r="C133" i="18" s="1"/>
  <c r="C132" i="18"/>
  <c r="BR5" i="23"/>
  <c r="BO6" i="23"/>
  <c r="BO22" i="23" s="1"/>
  <c r="BR6" i="23"/>
  <c r="BO5" i="23"/>
  <c r="BP22" i="23" s="1"/>
  <c r="BV30" i="23"/>
  <c r="BT18" i="23"/>
  <c r="BQ11" i="23"/>
  <c r="BU30" i="23" s="1"/>
  <c r="BT22" i="23"/>
  <c r="BV22" i="23"/>
  <c r="BT21" i="23"/>
  <c r="BQ5" i="23"/>
  <c r="BP30" i="23" s="1"/>
  <c r="BP5" i="23"/>
  <c r="BQ6" i="23"/>
  <c r="BO29" i="23" s="1"/>
  <c r="BP6" i="23"/>
  <c r="BT17" i="23"/>
  <c r="BN11" i="23"/>
  <c r="BU18" i="23" s="1"/>
  <c r="BP11" i="23"/>
  <c r="BT26" i="23"/>
  <c r="BT25" i="23"/>
  <c r="BV26" i="23"/>
  <c r="BN6" i="23"/>
  <c r="BN5" i="23"/>
  <c r="BG24" i="23"/>
  <c r="BG27" i="23" s="1"/>
  <c r="BF10" i="23"/>
  <c r="BF9" i="23"/>
  <c r="BE31" i="23"/>
  <c r="BE19" i="23"/>
  <c r="BF19" i="23" s="1"/>
  <c r="BH18" i="23"/>
  <c r="BI18" i="23" s="1"/>
  <c r="CF4" i="23" l="1"/>
  <c r="CF5" i="23"/>
  <c r="CH6" i="23"/>
  <c r="CB6" i="23"/>
  <c r="CB5" i="23"/>
  <c r="CB4" i="23"/>
  <c r="BO21" i="23"/>
  <c r="CH8" i="23"/>
  <c r="CH10" i="23"/>
  <c r="CH9" i="23"/>
  <c r="CH13" i="23"/>
  <c r="CC9" i="23"/>
  <c r="CG13" i="23"/>
  <c r="CF11" i="23"/>
  <c r="CD10" i="23"/>
  <c r="CH11" i="23"/>
  <c r="CD9" i="23"/>
  <c r="CB9" i="23"/>
  <c r="CD7" i="23"/>
  <c r="CC12" i="23"/>
  <c r="CD11" i="23"/>
  <c r="CE12" i="23"/>
  <c r="CG9" i="23"/>
  <c r="CB8" i="23"/>
  <c r="CC13" i="23"/>
  <c r="CB12" i="23"/>
  <c r="CH7" i="23"/>
  <c r="CF12" i="23"/>
  <c r="CD5" i="23"/>
  <c r="CH4" i="23"/>
  <c r="CD4" i="23"/>
  <c r="CH5" i="23"/>
  <c r="CG12" i="23"/>
  <c r="CD8" i="23"/>
  <c r="CH12" i="23"/>
  <c r="CF9" i="23"/>
  <c r="CF10" i="23"/>
  <c r="CB7" i="23"/>
  <c r="CD6" i="23"/>
  <c r="CB10" i="23"/>
  <c r="CF13" i="23"/>
  <c r="CD13" i="23"/>
  <c r="CE13" i="23"/>
  <c r="CD12" i="23"/>
  <c r="CB13" i="23"/>
  <c r="CB11" i="23"/>
  <c r="BP50" i="23"/>
  <c r="AK42" i="23" s="1"/>
  <c r="BG55" i="23"/>
  <c r="BH55" i="23" s="1"/>
  <c r="BG53" i="23"/>
  <c r="BH53" i="23" s="1"/>
  <c r="BG51" i="23"/>
  <c r="BH51" i="23" s="1"/>
  <c r="BG49" i="23"/>
  <c r="BH49" i="23" s="1"/>
  <c r="BG47" i="23"/>
  <c r="BH47" i="23" s="1"/>
  <c r="BG54" i="23"/>
  <c r="BH54" i="23" s="1"/>
  <c r="BG52" i="23"/>
  <c r="BH52" i="23" s="1"/>
  <c r="BG50" i="23"/>
  <c r="BH50" i="23" s="1"/>
  <c r="BG48" i="23"/>
  <c r="BH48" i="23" s="1"/>
  <c r="BG44" i="23"/>
  <c r="BH44" i="23" s="1"/>
  <c r="BG42" i="23"/>
  <c r="BH42" i="23" s="1"/>
  <c r="BG40" i="23"/>
  <c r="BH40" i="23" s="1"/>
  <c r="BG38" i="23"/>
  <c r="BH38" i="23" s="1"/>
  <c r="BG36" i="23"/>
  <c r="BH36" i="23" s="1"/>
  <c r="BG43" i="23"/>
  <c r="BH43" i="23" s="1"/>
  <c r="BG41" i="23"/>
  <c r="BH41" i="23" s="1"/>
  <c r="BG39" i="23"/>
  <c r="BH39" i="23" s="1"/>
  <c r="BG37" i="23"/>
  <c r="BJ24" i="23"/>
  <c r="BJ28" i="23" s="1"/>
  <c r="BP42" i="23"/>
  <c r="BN42" i="23"/>
  <c r="BP41" i="23"/>
  <c r="BO42" i="23"/>
  <c r="BQ42" i="23"/>
  <c r="BO41" i="23"/>
  <c r="BP46" i="23"/>
  <c r="BN46" i="23"/>
  <c r="BP45" i="23"/>
  <c r="BO46" i="23"/>
  <c r="BQ46" i="23"/>
  <c r="BO45" i="23"/>
  <c r="BP17" i="23"/>
  <c r="BN18" i="23"/>
  <c r="BO18" i="23"/>
  <c r="BO17" i="23"/>
  <c r="BQ22" i="23"/>
  <c r="BH24" i="23"/>
  <c r="BH28" i="23" s="1"/>
  <c r="B55" i="18"/>
  <c r="C54" i="18"/>
  <c r="B114" i="18"/>
  <c r="C113" i="18"/>
  <c r="B24" i="18"/>
  <c r="C23" i="18"/>
  <c r="D23" i="18" s="1"/>
  <c r="B74" i="18"/>
  <c r="C73" i="18"/>
  <c r="BI24" i="23"/>
  <c r="BJ30" i="23"/>
  <c r="BO34" i="23"/>
  <c r="BQ34" i="23"/>
  <c r="BO33" i="23"/>
  <c r="BN34" i="23"/>
  <c r="BP34" i="23"/>
  <c r="BP33" i="23"/>
  <c r="BN22" i="23"/>
  <c r="BP21" i="23"/>
  <c r="BS30" i="23"/>
  <c r="BU29" i="23"/>
  <c r="BO30" i="23"/>
  <c r="BG31" i="23"/>
  <c r="BG28" i="23"/>
  <c r="BG29" i="23"/>
  <c r="BG30" i="23"/>
  <c r="BQ30" i="23"/>
  <c r="BS22" i="23"/>
  <c r="BU22" i="23"/>
  <c r="BU21" i="23"/>
  <c r="BN30" i="23"/>
  <c r="BP29" i="23"/>
  <c r="BF24" i="23"/>
  <c r="BQ18" i="23"/>
  <c r="BO26" i="23"/>
  <c r="BQ26" i="23"/>
  <c r="BO25" i="23"/>
  <c r="BN26" i="23"/>
  <c r="BP26" i="23"/>
  <c r="BP25" i="23"/>
  <c r="BS18" i="23"/>
  <c r="BU17" i="23"/>
  <c r="BU26" i="23"/>
  <c r="BU25" i="23"/>
  <c r="BS26" i="23"/>
  <c r="BP18" i="23"/>
  <c r="BF11" i="23"/>
  <c r="BE32" i="23"/>
  <c r="BE20" i="23"/>
  <c r="BF20" i="23" s="1"/>
  <c r="BH19" i="23"/>
  <c r="BI19" i="23" s="1"/>
  <c r="CK5" i="23" l="1"/>
  <c r="CK4" i="23"/>
  <c r="BH29" i="23"/>
  <c r="CJ9" i="23"/>
  <c r="BP53" i="23"/>
  <c r="BH30" i="23"/>
  <c r="BJ32" i="23"/>
  <c r="BJ29" i="23"/>
  <c r="BH27" i="23"/>
  <c r="BH31" i="23"/>
  <c r="BH37" i="23"/>
  <c r="BH56" i="23"/>
  <c r="BD43" i="23" s="1"/>
  <c r="BD40" i="23"/>
  <c r="BD41" i="23"/>
  <c r="BD38" i="23"/>
  <c r="BD36" i="23"/>
  <c r="BD37" i="23"/>
  <c r="BD39" i="23"/>
  <c r="BH45" i="23"/>
  <c r="BD42" i="23" s="1"/>
  <c r="CL9" i="23"/>
  <c r="CL11" i="23"/>
  <c r="BG32" i="23"/>
  <c r="CJ5" i="23"/>
  <c r="CJ4" i="23"/>
  <c r="BH32" i="23"/>
  <c r="B75" i="18"/>
  <c r="C74" i="18"/>
  <c r="B25" i="18"/>
  <c r="C24" i="18"/>
  <c r="D24" i="18" s="1"/>
  <c r="B115" i="18"/>
  <c r="C114" i="18"/>
  <c r="B56" i="18"/>
  <c r="C55" i="18"/>
  <c r="CL13" i="23"/>
  <c r="BJ27" i="23"/>
  <c r="BJ31" i="23"/>
  <c r="BF32" i="23"/>
  <c r="BF28" i="23"/>
  <c r="BF29" i="23"/>
  <c r="BF30" i="23"/>
  <c r="BF27" i="23"/>
  <c r="BF31" i="23"/>
  <c r="BI32" i="23"/>
  <c r="BI28" i="23"/>
  <c r="BI29" i="23"/>
  <c r="BI30" i="23"/>
  <c r="BI27" i="23"/>
  <c r="BI31" i="23"/>
  <c r="BE33" i="23"/>
  <c r="BE21" i="23"/>
  <c r="BF21" i="23" s="1"/>
  <c r="BH20" i="23"/>
  <c r="BI20" i="23" s="1"/>
  <c r="BG33" i="23" s="1"/>
  <c r="BD44" i="23" l="1"/>
  <c r="M42" i="23" s="1"/>
  <c r="BK36" i="23" s="1"/>
  <c r="BI33" i="23"/>
  <c r="BH33" i="23"/>
  <c r="B57" i="18"/>
  <c r="C56" i="18"/>
  <c r="B116" i="18"/>
  <c r="C115" i="18"/>
  <c r="B26" i="18"/>
  <c r="C25" i="18"/>
  <c r="D25" i="18" s="1"/>
  <c r="B76" i="18"/>
  <c r="C75" i="18"/>
  <c r="BF33" i="23"/>
  <c r="BJ33" i="23"/>
  <c r="BE34" i="23"/>
  <c r="BH21" i="23"/>
  <c r="BI21" i="23" s="1"/>
  <c r="BG34" i="23" s="1"/>
  <c r="AG49" i="23" l="1"/>
  <c r="BI34" i="23"/>
  <c r="BH34" i="23"/>
  <c r="B77" i="18"/>
  <c r="C76" i="18"/>
  <c r="B27" i="18"/>
  <c r="C26" i="18"/>
  <c r="D26" i="18" s="1"/>
  <c r="B117" i="18"/>
  <c r="C116" i="18"/>
  <c r="B58" i="18"/>
  <c r="C57" i="18"/>
  <c r="BF34" i="23"/>
  <c r="BJ34" i="23"/>
  <c r="CJ13" i="23"/>
  <c r="CM13" i="23"/>
  <c r="CF8" i="23" l="1"/>
  <c r="CK8" i="23" s="1"/>
  <c r="CF6" i="23"/>
  <c r="CJ6" i="23" s="1"/>
  <c r="CF7" i="23"/>
  <c r="CJ7" i="23" s="1"/>
  <c r="CG11" i="23"/>
  <c r="CG10" i="23"/>
  <c r="CC11" i="23"/>
  <c r="CC10" i="23"/>
  <c r="CE11" i="23"/>
  <c r="CM12" i="23"/>
  <c r="CL10" i="23"/>
  <c r="R65" i="23"/>
  <c r="B59" i="18"/>
  <c r="C58" i="18"/>
  <c r="B118" i="18"/>
  <c r="C117" i="18"/>
  <c r="B28" i="18"/>
  <c r="C27" i="18"/>
  <c r="D27" i="18" s="1"/>
  <c r="B78" i="18"/>
  <c r="C77" i="18"/>
  <c r="CJ8" i="23" l="1"/>
  <c r="CK6" i="23"/>
  <c r="CM10" i="23"/>
  <c r="CK7" i="23"/>
  <c r="AH59" i="23" s="1"/>
  <c r="CL12" i="23"/>
  <c r="AH60" i="23" s="1"/>
  <c r="CJ12" i="23"/>
  <c r="CJ10" i="23"/>
  <c r="CM9" i="23"/>
  <c r="CJ11" i="23"/>
  <c r="CM11" i="23"/>
  <c r="AH61" i="23" s="1"/>
  <c r="B79" i="18"/>
  <c r="C78" i="18"/>
  <c r="B29" i="18"/>
  <c r="C28" i="18"/>
  <c r="D28" i="18" s="1"/>
  <c r="B119" i="18"/>
  <c r="C118" i="18"/>
  <c r="B60" i="18"/>
  <c r="C59" i="18"/>
  <c r="B85" i="18"/>
  <c r="CJ14" i="23" l="1"/>
  <c r="AH62" i="23" s="1"/>
  <c r="B86" i="18"/>
  <c r="C85" i="18"/>
  <c r="B61" i="18"/>
  <c r="C60" i="18"/>
  <c r="B120" i="18"/>
  <c r="C119" i="18"/>
  <c r="B30" i="18"/>
  <c r="C29" i="18"/>
  <c r="D29" i="18" s="1"/>
  <c r="B80" i="18"/>
  <c r="C79" i="18"/>
  <c r="B81" i="18" l="1"/>
  <c r="C80" i="18"/>
  <c r="B31" i="18"/>
  <c r="C30" i="18"/>
  <c r="D30" i="18" s="1"/>
  <c r="B121" i="18"/>
  <c r="C120" i="18"/>
  <c r="B62" i="18"/>
  <c r="C61" i="18"/>
  <c r="B87" i="18"/>
  <c r="C86" i="18"/>
  <c r="B88" i="18" l="1"/>
  <c r="C87" i="18"/>
  <c r="B63" i="18"/>
  <c r="C63" i="18" s="1"/>
  <c r="C62" i="18"/>
  <c r="B122" i="18"/>
  <c r="C121" i="18"/>
  <c r="B32" i="18"/>
  <c r="C31" i="18"/>
  <c r="D31" i="18" s="1"/>
  <c r="B82" i="18"/>
  <c r="C81" i="18"/>
  <c r="C82" i="18" l="1"/>
  <c r="B83" i="18"/>
  <c r="C83" i="18" s="1"/>
  <c r="B33" i="18"/>
  <c r="C32" i="18"/>
  <c r="D32" i="18" s="1"/>
  <c r="B123" i="18"/>
  <c r="C123" i="18" s="1"/>
  <c r="C122" i="18"/>
  <c r="B89" i="18"/>
  <c r="C88" i="18"/>
  <c r="B90" i="18" l="1"/>
  <c r="C89" i="18"/>
  <c r="B34" i="18"/>
  <c r="C33" i="18"/>
  <c r="D33" i="18" s="1"/>
  <c r="B35" i="18" l="1"/>
  <c r="C34" i="18"/>
  <c r="D34" i="18" s="1"/>
  <c r="B91" i="18"/>
  <c r="C90" i="18"/>
  <c r="B92" i="18" l="1"/>
  <c r="C91" i="18"/>
  <c r="B36" i="18"/>
  <c r="C35" i="18"/>
  <c r="D35" i="18" s="1"/>
  <c r="B37" i="18" l="1"/>
  <c r="C36" i="18"/>
  <c r="D36" i="18" s="1"/>
  <c r="B93" i="18"/>
  <c r="C92" i="18"/>
  <c r="B94" i="18" l="1"/>
  <c r="C93" i="18"/>
  <c r="B38" i="18"/>
  <c r="C37" i="18"/>
  <c r="D37" i="18" s="1"/>
  <c r="B39" i="18" l="1"/>
  <c r="C38" i="18"/>
  <c r="D38" i="18" s="1"/>
  <c r="B95" i="18"/>
  <c r="C94" i="18"/>
  <c r="B96" i="18" l="1"/>
  <c r="C95" i="18"/>
  <c r="B40" i="18"/>
  <c r="C39" i="18"/>
  <c r="D39" i="18" s="1"/>
  <c r="B41" i="18" l="1"/>
  <c r="C40" i="18"/>
  <c r="D40" i="18" s="1"/>
  <c r="B97" i="18"/>
  <c r="C96" i="18"/>
  <c r="B98" i="18" l="1"/>
  <c r="C97" i="18"/>
  <c r="B42" i="18"/>
  <c r="C41" i="18"/>
  <c r="D41" i="18" s="1"/>
  <c r="B43" i="18" l="1"/>
  <c r="C43" i="18" s="1"/>
  <c r="D43" i="18" s="1"/>
  <c r="C42" i="18"/>
  <c r="D42" i="18" s="1"/>
  <c r="B99" i="18"/>
  <c r="C98" i="18"/>
  <c r="B100" i="18" l="1"/>
  <c r="C99" i="18"/>
  <c r="B101" i="18" l="1"/>
  <c r="C100" i="18"/>
  <c r="B102" i="18" l="1"/>
  <c r="C101" i="18"/>
  <c r="B103" i="18" l="1"/>
  <c r="C103" i="18" s="1"/>
  <c r="C102" i="18"/>
</calcChain>
</file>

<file path=xl/sharedStrings.xml><?xml version="1.0" encoding="utf-8"?>
<sst xmlns="http://schemas.openxmlformats.org/spreadsheetml/2006/main" count="660" uniqueCount="368">
  <si>
    <t>Warrant 2-lane (40 MPH, L=5%)</t>
  </si>
  <si>
    <t>Warrant 2-lane (40 MPH, L=10%)</t>
  </si>
  <si>
    <t>Warrant 2-lane (40 MPH, L=15%)</t>
  </si>
  <si>
    <t>Warrant 2-lane (40 MPH, L=20%)</t>
  </si>
  <si>
    <t>Warrant 2-lane (40 MPH, L=30%)</t>
  </si>
  <si>
    <t>Warrant 2-lane (40 MPH, L=40%)</t>
  </si>
  <si>
    <t>Warrant 2-lane (50 MPH, L=5%)</t>
  </si>
  <si>
    <t>Warrant 2-lane (50 MPH, L=10%)</t>
  </si>
  <si>
    <t>Warrant 2-lane (50 MPH, L=15%)</t>
  </si>
  <si>
    <t>Warrant 2-lane (50 MPH, L=20%)</t>
  </si>
  <si>
    <t>Warrant 2-lane (50 MPH, L=30%)</t>
  </si>
  <si>
    <t>Warrant 2-lane (50 MPH, L=40%)</t>
  </si>
  <si>
    <t>Warrant 2-lane (60 MPH, L=5%)</t>
  </si>
  <si>
    <t>Warrant 2-lane (60 MPH, L=10%)</t>
  </si>
  <si>
    <t>Warrant 2-lane (60 MPH, L=15%)</t>
  </si>
  <si>
    <t>Warrant 2-lane (60 MPH, L=20%)</t>
  </si>
  <si>
    <t>Warrant 2-lane (60 MPH, L=30%)</t>
  </si>
  <si>
    <t>Warrant 2-lane (60 MPH, L=40%)</t>
  </si>
  <si>
    <t>Warrant 2-lane (35 MPH, L=1%)</t>
  </si>
  <si>
    <t>Adv. Vol.</t>
  </si>
  <si>
    <t>Opp. Vol.</t>
  </si>
  <si>
    <t>Warrant 2-lane (35 MPH, L=2%)</t>
  </si>
  <si>
    <t>Warrant 2-lane (35 MPH, L=5%)</t>
  </si>
  <si>
    <t>Warrant 2-lane (35 MPH, L=10%)</t>
  </si>
  <si>
    <t>Warrant 2-lane (35 MPH, L=15%)</t>
  </si>
  <si>
    <t>Warrant 2-lane (35 MPH, L=20%)</t>
  </si>
  <si>
    <t>Warrant 2-lane (35 MPH, L=50%)</t>
  </si>
  <si>
    <t>Warrant 2-lane (55 MPH, L=1%)</t>
  </si>
  <si>
    <t>Warrant 2-lane (55 MPH, L=2%)</t>
  </si>
  <si>
    <t>Warrant 2-lane (55 MPH, L=5%)</t>
  </si>
  <si>
    <t>Warrant 2-lane (55 MPH, L=10%)</t>
  </si>
  <si>
    <t>Warrant 2-lane (55 MPH, L=15%)</t>
  </si>
  <si>
    <t>Warrant 2-lane (55 MPH, L=20%)</t>
  </si>
  <si>
    <t>Warrant 2-lane (55 MPH, L=50%)</t>
  </si>
  <si>
    <t>Advancing Volume</t>
  </si>
  <si>
    <t>Warrant 2-lane (40 MPH, L=4%)</t>
  </si>
  <si>
    <t>Warrant 2-lane (40 MPH, L=3%)</t>
  </si>
  <si>
    <t>Warrant 2-lane (40 MPH, L=2%)</t>
  </si>
  <si>
    <t>Warrant 2-lane (40 MPH, L=1%)</t>
  </si>
  <si>
    <t>Warrant 2-lane (50 MPH, L=4%)</t>
  </si>
  <si>
    <t>Warrant 2-lane (50 MPH, L=3%)</t>
  </si>
  <si>
    <t>Warrant 2-lane (50 MPH, L=2%)</t>
  </si>
  <si>
    <t>Warrant 2-lane (50 MPH, L=1%)</t>
  </si>
  <si>
    <t>Warrant 2-lane (60 MPH, L=4%)</t>
  </si>
  <si>
    <t>Warrant 2-lane (60 MPH, L=3%)</t>
  </si>
  <si>
    <t>Warrant 2-lane (60 MPH, L=2%)</t>
  </si>
  <si>
    <t>Warrant 2-lane (60 MPH, L=1%)</t>
  </si>
  <si>
    <t>Warrant 2-lane (35 MPH, L=30%)</t>
  </si>
  <si>
    <t>Warrant 2-lane (35 MPH, L=40%)</t>
  </si>
  <si>
    <t>Warrant 2-lane (35 MPH, L=4%)</t>
  </si>
  <si>
    <t>Warrant 2-lane (35 MPH, L=3%)</t>
  </si>
  <si>
    <t>Warrant 2-lane (55 MPH, L=30%)</t>
  </si>
  <si>
    <t>Warrant 2-lane (55 MPH, L=40%)</t>
  </si>
  <si>
    <t>Warrant 2-lane (55 MPH, L=4%)</t>
  </si>
  <si>
    <t>Warrant 2-lane (55 MPH, L=3%)</t>
  </si>
  <si>
    <t>Warrant 2-lane (45 MPH, L=5%)</t>
  </si>
  <si>
    <t>Warrant 2-lane (45 MPH, L=10%)</t>
  </si>
  <si>
    <t>Warrant 2-lane (45 MPH, L=15%)</t>
  </si>
  <si>
    <t>Warrant 2-lane (45 MPH, L=20%)</t>
  </si>
  <si>
    <t>Warrant 2-lane (45 MPH, L=30%)</t>
  </si>
  <si>
    <t>Warrant 2-lane (45 MPH, L=40%)</t>
  </si>
  <si>
    <t>Warrant 2-lane (45 MPH, L=4%)</t>
  </si>
  <si>
    <t>Warrant 2-lane (45 MPH, L=3%)</t>
  </si>
  <si>
    <t>Warrant 2-lane (45 MPH, L=2%)</t>
  </si>
  <si>
    <t>Warrant 2-lane (45 MPH, L=1%)</t>
  </si>
  <si>
    <t>Left</t>
  </si>
  <si>
    <t>Through</t>
  </si>
  <si>
    <t>Right</t>
  </si>
  <si>
    <t>Type of Terrain</t>
  </si>
  <si>
    <t>LEVEL</t>
  </si>
  <si>
    <t>ROLLING</t>
  </si>
  <si>
    <t>MOUNTAINOUS</t>
  </si>
  <si>
    <t>Analysis Period:</t>
  </si>
  <si>
    <t>Speed Limit</t>
  </si>
  <si>
    <t>Right Turning Traffic</t>
  </si>
  <si>
    <t>PennDOT Central Office</t>
  </si>
  <si>
    <t>Rolling</t>
  </si>
  <si>
    <t>Design Hour:</t>
  </si>
  <si>
    <t>TJT</t>
  </si>
  <si>
    <t>Movement</t>
  </si>
  <si>
    <t>Volume</t>
  </si>
  <si>
    <t>PCEV</t>
  </si>
  <si>
    <t>Advancing</t>
  </si>
  <si>
    <t>Opposing</t>
  </si>
  <si>
    <t>Signalized</t>
  </si>
  <si>
    <t>Unsignalized</t>
  </si>
  <si>
    <t>STUDY LOCATION AND ANALYSIS INFORMATION</t>
  </si>
  <si>
    <t>Municipality:</t>
  </si>
  <si>
    <t>Analysis Date:</t>
  </si>
  <si>
    <t>County:</t>
  </si>
  <si>
    <t>Conducted By:</t>
  </si>
  <si>
    <t>PennDOT Engineering District:</t>
  </si>
  <si>
    <t>Checked By:</t>
  </si>
  <si>
    <t>Agency/Company Name:</t>
  </si>
  <si>
    <t>PennDOT Engineering Districts</t>
  </si>
  <si>
    <t>Pennsylvania Counties</t>
  </si>
  <si>
    <t>Adams County</t>
  </si>
  <si>
    <t>Allegheny County</t>
  </si>
  <si>
    <t>Armstrong County</t>
  </si>
  <si>
    <t>Beaver County</t>
  </si>
  <si>
    <t>Bedford County</t>
  </si>
  <si>
    <t>Berks County</t>
  </si>
  <si>
    <t>Blair County</t>
  </si>
  <si>
    <t>Bradford County</t>
  </si>
  <si>
    <t>Bucks County</t>
  </si>
  <si>
    <t>Butler County</t>
  </si>
  <si>
    <t>Cambria County</t>
  </si>
  <si>
    <t>Cameron County</t>
  </si>
  <si>
    <t>Carbon County</t>
  </si>
  <si>
    <t>Centre County</t>
  </si>
  <si>
    <t>Chester County</t>
  </si>
  <si>
    <t>Clarion County</t>
  </si>
  <si>
    <t>Clearfield County</t>
  </si>
  <si>
    <t>Yes/No/N/A Decision</t>
  </si>
  <si>
    <t>Clinton County</t>
  </si>
  <si>
    <t>Yes</t>
  </si>
  <si>
    <t>Columbia County</t>
  </si>
  <si>
    <t>No</t>
  </si>
  <si>
    <t>Crawford County</t>
  </si>
  <si>
    <t>N/A</t>
  </si>
  <si>
    <t>Cumberland County</t>
  </si>
  <si>
    <t>Dauphin County</t>
  </si>
  <si>
    <t>Delaware County</t>
  </si>
  <si>
    <t>Elk County</t>
  </si>
  <si>
    <t>Day of Week</t>
  </si>
  <si>
    <t>Erie County</t>
  </si>
  <si>
    <t>Monday</t>
  </si>
  <si>
    <t>Fayette County</t>
  </si>
  <si>
    <t>Tuesday</t>
  </si>
  <si>
    <t>Forest County</t>
  </si>
  <si>
    <t>Wednesday</t>
  </si>
  <si>
    <t>Franklin County</t>
  </si>
  <si>
    <t>Thursday</t>
  </si>
  <si>
    <t>Fulton County</t>
  </si>
  <si>
    <t>Friday</t>
  </si>
  <si>
    <t>Greene County</t>
  </si>
  <si>
    <t>Saturday</t>
  </si>
  <si>
    <t>Huntingdon County</t>
  </si>
  <si>
    <t>Sunday</t>
  </si>
  <si>
    <t>Indiana County</t>
  </si>
  <si>
    <t>Jefferson County</t>
  </si>
  <si>
    <t>Juniata County</t>
  </si>
  <si>
    <t>Lackawanna County</t>
  </si>
  <si>
    <t>Lancaster County</t>
  </si>
  <si>
    <t>Lawrence County</t>
  </si>
  <si>
    <t>Lebanon County</t>
  </si>
  <si>
    <t>Lehigh County</t>
  </si>
  <si>
    <t>Luzerne County</t>
  </si>
  <si>
    <t>Lycoming County</t>
  </si>
  <si>
    <t>McKean County</t>
  </si>
  <si>
    <t>Mercer County</t>
  </si>
  <si>
    <t>Mifflin County</t>
  </si>
  <si>
    <t>Monroe County</t>
  </si>
  <si>
    <t>Montgomery County</t>
  </si>
  <si>
    <t>Montour County</t>
  </si>
  <si>
    <t>Northampton County</t>
  </si>
  <si>
    <t>Northumberland County</t>
  </si>
  <si>
    <t>Perry County</t>
  </si>
  <si>
    <t>Philadelphia County</t>
  </si>
  <si>
    <t>Pike County</t>
  </si>
  <si>
    <t>Potter County</t>
  </si>
  <si>
    <t>Schuylkill County</t>
  </si>
  <si>
    <t>Snyder County</t>
  </si>
  <si>
    <t>Somerset County</t>
  </si>
  <si>
    <t>Sullivan County</t>
  </si>
  <si>
    <t>Susquehanna County</t>
  </si>
  <si>
    <t>Tioga County</t>
  </si>
  <si>
    <t>Union County</t>
  </si>
  <si>
    <t>Venango County</t>
  </si>
  <si>
    <t>Warren County</t>
  </si>
  <si>
    <t>Washington County</t>
  </si>
  <si>
    <t>Wayne County</t>
  </si>
  <si>
    <t>Westmoreland County</t>
  </si>
  <si>
    <t>Wyoming County</t>
  </si>
  <si>
    <t>York County</t>
  </si>
  <si>
    <t>Introduction</t>
  </si>
  <si>
    <t>Assumptions</t>
  </si>
  <si>
    <t>Instructions</t>
  </si>
  <si>
    <t>All pale yellow cells are available for the user to either input information or to provide a decision. Some of these input cells, when selected, provide additional information/drop-down lists for the user to input the correct information. Green cells are self calculating.</t>
  </si>
  <si>
    <t>Version #</t>
  </si>
  <si>
    <t>Revision Date</t>
  </si>
  <si>
    <t>Revision Description</t>
  </si>
  <si>
    <t>Original</t>
  </si>
  <si>
    <t>Intersection Control:</t>
  </si>
  <si>
    <t>Intersection Control</t>
  </si>
  <si>
    <t>Type of Terrain:</t>
  </si>
  <si>
    <t>Level</t>
  </si>
  <si>
    <t>Mountainous</t>
  </si>
  <si>
    <t>Posted Speed Limit (MPH):</t>
  </si>
  <si>
    <t>Upper Allen Township</t>
  </si>
  <si>
    <t>DF</t>
  </si>
  <si>
    <t>% Trucks</t>
  </si>
  <si>
    <t>Include?</t>
  </si>
  <si>
    <t>-</t>
  </si>
  <si>
    <t>Terrain Reference</t>
  </si>
  <si>
    <t>Advancing Volume:</t>
  </si>
  <si>
    <t>Opposing Volume:</t>
  </si>
  <si>
    <t>Left Turn Volume:</t>
  </si>
  <si>
    <t>Analysis Type</t>
  </si>
  <si>
    <t>% Left Turns in Advancing Volume:</t>
  </si>
  <si>
    <t>Left Turn Lane</t>
  </si>
  <si>
    <t>Right Turn Lane</t>
  </si>
  <si>
    <t>X Axis Plot Points</t>
  </si>
  <si>
    <t>Y Axis Plot Points</t>
  </si>
  <si>
    <t>Left Turn Graph Plot Lines</t>
  </si>
  <si>
    <t>Right Turn Lane Volume Calculations</t>
  </si>
  <si>
    <t>Left Turn Lane Volume Calculations</t>
  </si>
  <si>
    <t>Right Turn Volume:</t>
  </si>
  <si>
    <t>Right Turn Graph Plot Lines</t>
  </si>
  <si>
    <t>AM Peak Hour</t>
  </si>
  <si>
    <t>Intersection &amp; Approach Description:</t>
  </si>
  <si>
    <t>TURN LANE WARRANT FINDINGS</t>
  </si>
  <si>
    <t>CALIBRATION CONSTANTS</t>
  </si>
  <si>
    <t>Variable</t>
  </si>
  <si>
    <t>Value</t>
  </si>
  <si>
    <t>Average time for making left-turn, s:</t>
  </si>
  <si>
    <t>Critical headway, s:</t>
  </si>
  <si>
    <t>Average time for left-turn vehicle to clear the advancing lane, s:</t>
  </si>
  <si>
    <t>ρ</t>
  </si>
  <si>
    <t>f  =</t>
  </si>
  <si>
    <t>Wait Time</t>
  </si>
  <si>
    <t>s</t>
  </si>
  <si>
    <t>Service Rate</t>
  </si>
  <si>
    <t>veh/h</t>
  </si>
  <si>
    <t>Arrival Rate</t>
  </si>
  <si>
    <t>Vo</t>
  </si>
  <si>
    <t>Time_tw</t>
  </si>
  <si>
    <t>Serv_rate</t>
  </si>
  <si>
    <t xml:space="preserve">% LT veh. </t>
  </si>
  <si>
    <t>&lt;=35</t>
  </si>
  <si>
    <t>Harmelink Plot Constraints</t>
  </si>
  <si>
    <t>Left &amp; Right Turn Lane Warrant Graph Plot Constraints</t>
  </si>
  <si>
    <t>Left Turn</t>
  </si>
  <si>
    <t>Right Turn</t>
  </si>
  <si>
    <t>2-Lane</t>
  </si>
  <si>
    <t>RT Vol</t>
  </si>
  <si>
    <t>Number of Approach Lanes:</t>
  </si>
  <si>
    <t>Approach Lanes</t>
  </si>
  <si>
    <t>&lt;=40 &amp; 2-Lane</t>
  </si>
  <si>
    <t>&gt;=45 &amp; 1-Lane</t>
  </si>
  <si>
    <t>1-Lane</t>
  </si>
  <si>
    <t>&lt;=40 &amp; 1-Lane</t>
  </si>
  <si>
    <t>&gt;=45 &amp; 2-Lane</t>
  </si>
  <si>
    <t>Check</t>
  </si>
  <si>
    <r>
      <t>V</t>
    </r>
    <r>
      <rPr>
        <vertAlign val="subscript"/>
        <sz val="9"/>
        <rFont val="Calibri"/>
        <family val="2"/>
        <scheme val="minor"/>
      </rPr>
      <t>A</t>
    </r>
  </si>
  <si>
    <t>Left Turn Lane Warrant Findings</t>
  </si>
  <si>
    <t>Applicable Warrant Figure:</t>
  </si>
  <si>
    <t>Warrant Met?:</t>
  </si>
  <si>
    <t>Right Turn Lane Warrant Findings</t>
  </si>
  <si>
    <t>Type of Traffic Control</t>
  </si>
  <si>
    <t>25-35</t>
  </si>
  <si>
    <t>40-45</t>
  </si>
  <si>
    <t>50-60</t>
  </si>
  <si>
    <t>Speed (MPH)</t>
  </si>
  <si>
    <t>Turn Demand Volume</t>
  </si>
  <si>
    <t>High</t>
  </si>
  <si>
    <t>A</t>
  </si>
  <si>
    <t>B or C</t>
  </si>
  <si>
    <t>C</t>
  </si>
  <si>
    <t>B</t>
  </si>
  <si>
    <t>Low</t>
  </si>
  <si>
    <t>Condition B</t>
  </si>
  <si>
    <t>Condition C</t>
  </si>
  <si>
    <t>Average # of Vehicles/Cycle:</t>
  </si>
  <si>
    <t>Design Hour Volume of Turning Lane:</t>
  </si>
  <si>
    <t>Cycles Per Hour(Assumed)</t>
  </si>
  <si>
    <t>Cycles Per Hour (Assumed):</t>
  </si>
  <si>
    <t>Known</t>
  </si>
  <si>
    <t>Cycles Per Hour (If Known):</t>
  </si>
  <si>
    <t>Length</t>
  </si>
  <si>
    <t>PennDOT Publication 46, Exhibit 11-6</t>
  </si>
  <si>
    <t>Rounded</t>
  </si>
  <si>
    <t>Condition A</t>
  </si>
  <si>
    <t>Exhibit 11-8</t>
  </si>
  <si>
    <t>Exhibit 11-7</t>
  </si>
  <si>
    <t>Length Selection Matrix</t>
  </si>
  <si>
    <t>Left &amp; Right Turn Lane Storage Length Calculations</t>
  </si>
  <si>
    <t>Speed</t>
  </si>
  <si>
    <t>Feet</t>
  </si>
  <si>
    <t>Additional Findings:</t>
  </si>
  <si>
    <t>Additional Comments / Justifications:</t>
  </si>
  <si>
    <t>RT</t>
  </si>
  <si>
    <t>Advance</t>
  </si>
  <si>
    <t xml:space="preserve">Linear </t>
  </si>
  <si>
    <t>Whole Vehicle</t>
  </si>
  <si>
    <t>Warrant Graph (2 lane, 40 MPH)</t>
  </si>
  <si>
    <t>Advancing Volume Warrant:</t>
  </si>
  <si>
    <t>Warrant Graph (2 lane, 45 MPH)</t>
  </si>
  <si>
    <t>Figure 9 Trendline (2 lane, 40 MPH)</t>
  </si>
  <si>
    <t>Figure 10 Trendline (2 lane, 45 MPH)</t>
  </si>
  <si>
    <t>Warrant Graph (4 lane, 40 MPH)</t>
  </si>
  <si>
    <t>Figure 11 Trendline (4 lane, 40 MPH)</t>
  </si>
  <si>
    <t>Figure 12 Trendline (4 lane, 45 MPH)</t>
  </si>
  <si>
    <t>Warrant Graph (4 lane, 45 MPH)</t>
  </si>
  <si>
    <t>Right Turn Volume</t>
  </si>
  <si>
    <t>Figure 9</t>
  </si>
  <si>
    <t>Figure 10</t>
  </si>
  <si>
    <t>Figure 11</t>
  </si>
  <si>
    <t>Figure 12</t>
  </si>
  <si>
    <t>Applicable</t>
  </si>
  <si>
    <t>Warranting Volume</t>
  </si>
  <si>
    <t>Minor Threshold</t>
  </si>
  <si>
    <t>Condition B:</t>
  </si>
  <si>
    <t>Condition C:</t>
  </si>
  <si>
    <t>Warrant Four-Lane Undivided (L=1%)</t>
  </si>
  <si>
    <t>Warrant Four-Lane Undivided (L=2%)</t>
  </si>
  <si>
    <t>Warrant Four-Lane Undivided (L=3%)</t>
  </si>
  <si>
    <t>Warrant Four-Lane Undivided (L=5%)</t>
  </si>
  <si>
    <t>Opposing Volume</t>
  </si>
  <si>
    <t>Warrant Four-Lane Undivided (L=10%)</t>
  </si>
  <si>
    <t>Warrant Four-Lane Undivided (L=15%)</t>
  </si>
  <si>
    <t>Warrant Four-Lane Undivided (L=20%)</t>
  </si>
  <si>
    <t>Warrant Four-Lane Undivided (L=50%)</t>
  </si>
  <si>
    <t>Warrant Four-Lane Divided (L=1%)</t>
  </si>
  <si>
    <t>Warrant Four-Lane Divided (L=2%)</t>
  </si>
  <si>
    <t>Warrant Four-Lane Divided (L=3%)</t>
  </si>
  <si>
    <t>Warrant Four-Lane Divided (L=5%)</t>
  </si>
  <si>
    <t>Warrant Four-Lane Divided (L=10%)</t>
  </si>
  <si>
    <t>Warrant Four-Lane Divided (L=15%)</t>
  </si>
  <si>
    <t>Warrant Four-Lane Divided (L=20%)</t>
  </si>
  <si>
    <t>Warrant Four-Lane Divided (L=50%)</t>
  </si>
  <si>
    <t>Divided</t>
  </si>
  <si>
    <t>Undivided</t>
  </si>
  <si>
    <t>Highway Division</t>
  </si>
  <si>
    <t>Undivided or Divided Highway:</t>
  </si>
  <si>
    <t>VOLUME CALCULATIONS</t>
  </si>
  <si>
    <t>TURN LANE LENGTH CALCULATIONS</t>
  </si>
  <si>
    <t>Main Street (SR1001) &amp; Proposed Driveway - EB SR 1001 Approach</t>
  </si>
  <si>
    <t>This workbook accounts for a single left or right turn lane warrant analysis. Duplicate this file to account for each additional analysis.</t>
  </si>
  <si>
    <t>The references cited in Section 11.16 of PennDOT Publication 46 are the basis from which the warrant graphs were derived. Certain lane configurations, speeds, and volume distributions should not be evaluated using this workbook.</t>
  </si>
  <si>
    <t xml:space="preserve">This workbook allows the user to decide whether or not to include certain turning movement volumes in the overall calculations. Include the turning movement volume and if indicated to be excluded, provide justification. </t>
  </si>
  <si>
    <t>Begin by filling out the top section of the "Input&amp;Findings" tab. Include all study area information and make sure to indicate which type of turn lane warrant analysis is to be conducted. Next fill out the appropriate information in the "Volume Calculations" section. Follow the imbedded instructions for the remaining entries.</t>
  </si>
  <si>
    <t>Equation Driven Data</t>
  </si>
  <si>
    <t>LT&lt;1%</t>
  </si>
  <si>
    <t>1%&lt;=LT&lt;2%</t>
  </si>
  <si>
    <t>2%&lt;=LT&lt;3%</t>
  </si>
  <si>
    <t>3%&lt;=LT&lt;5%</t>
  </si>
  <si>
    <t>5%&lt;=LT&lt;10%</t>
  </si>
  <si>
    <t>10%&lt;=LT&lt;15%</t>
  </si>
  <si>
    <t>15%&lt;=LT&lt;20%</t>
  </si>
  <si>
    <t>20%&lt;=LT&lt;50%</t>
  </si>
  <si>
    <t>LT&gt;=50%</t>
  </si>
  <si>
    <t>Result</t>
  </si>
  <si>
    <t>Figure 7</t>
  </si>
  <si>
    <t>Figure 8</t>
  </si>
  <si>
    <t>Figure 7 Graphical Comparison</t>
  </si>
  <si>
    <t>Figure 8 Graphical Comparison</t>
  </si>
  <si>
    <t>Figure 1</t>
  </si>
  <si>
    <t>Figure 2</t>
  </si>
  <si>
    <t>Figure 3</t>
  </si>
  <si>
    <t>Figure 4</t>
  </si>
  <si>
    <t>Figure 5</t>
  </si>
  <si>
    <t>Figure 6</t>
  </si>
  <si>
    <t>Figure 7 or 8: When the actual left turn percentage (LT%) is between curves, the warranting curve is the lower percentage curve. For example, for a LT% of 8%, the curve that is used to determine if the warrant is met is the 5% curve. If the LT% is less than 1%, a left-turn lane is not considered warranted for the purposes of this workbook.</t>
  </si>
  <si>
    <t>The applicable warrant figure and an indication of whether or not the type of turn lane is warranted  will be  provided in the "Input&amp;Findings" tab. Additionally, if a turn lane is warranted, this tab will also include the required storage length rounded to the next highest 25' increment, if applicable. Refer to the figure tabs to locate and review the warrant findings.</t>
  </si>
  <si>
    <t>Per Clearance Transmittal T-12-016 Comments</t>
  </si>
  <si>
    <t>Included Imbedded Figure 7 and 8 Warrant Comparisons</t>
  </si>
  <si>
    <t>Type of Analysis</t>
  </si>
  <si>
    <t>Left or Right-Turn Lane Analysis?:</t>
  </si>
  <si>
    <t>In addition to the findings of this workbook, users shall comply with the guidance of Section 11.16 of PennDOT Publication 46 as it relates to use of operational analyses and other warranting factors to determine whether a turn lane is warranted or not. Attach all supplemental documentation.</t>
  </si>
  <si>
    <t>The purpose of this workbook is to aid in the determination of whether or not a left or right turn lane is warranted for an existing or proposed unsignalized or signalized intersection. If warranted, this workbook also calculates the required storage length.  The logic, calculations, and warrant graphs contained within this workbook stem from Section 11.16 and the Chapter 11 Appendix of PennDOT Publication 46. All users shall reference Section 11.16 of PennDOT Publication 46 while completing this workbook to verify the accuracy of workbook calculations and findings. This workbook is a tool to make a traffic engineering decision. This workbook is not a substitute for engineering judgment.</t>
  </si>
  <si>
    <t xml:space="preserve">Users shall ensure that the vehicle volumes are adjusted/grown using acceptable engineering practices to reflect the appropriate scenario for which the study is being done. </t>
  </si>
  <si>
    <t>Print Output:  Users may print one or more tabs using conventional Excel printing procedures. Macro enabled buttons are not provided in this workbook due to its simplicity to print.</t>
  </si>
  <si>
    <t>% Rt in advancing vol</t>
  </si>
  <si>
    <t>Corrected condition calculation for right turn lanes</t>
  </si>
  <si>
    <t>Fixed bug causing incorrect turn lane length outputs for the unsignalized, 40-45MPH, high turn demand volume, Condition C scenario</t>
  </si>
  <si>
    <t>2019 Build</t>
  </si>
  <si>
    <t>Fixed bug causing incorrect turn lane length outputs for the signalized, 25-35MPH, low turn demand volume, Condition A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</si>
</sst>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Times New Roman"/>
      <family val="1"/>
    </font>
    <font>
      <sz val="10"/>
      <name val="Arial"/>
      <family val="2"/>
    </font>
    <font>
      <sz val="10"/>
      <name val="Arial"/>
      <family val="2"/>
    </font>
    <font>
      <b/>
      <sz val="11"/>
      <color theme="1"/>
      <name val="Calibri"/>
      <family val="2"/>
      <scheme val="minor"/>
    </font>
    <font>
      <sz val="9"/>
      <color theme="1"/>
      <name val="Calibri"/>
      <family val="2"/>
      <scheme val="minor"/>
    </font>
    <font>
      <b/>
      <sz val="16"/>
      <color theme="1"/>
      <name val="Calibri"/>
      <family val="2"/>
      <scheme val="minor"/>
    </font>
    <font>
      <sz val="11"/>
      <name val="Calibri"/>
      <family val="2"/>
      <scheme val="minor"/>
    </font>
    <font>
      <b/>
      <sz val="11"/>
      <name val="Calibri"/>
      <family val="2"/>
      <scheme val="minor"/>
    </font>
    <font>
      <sz val="11"/>
      <name val="Arial"/>
      <family val="2"/>
    </font>
    <font>
      <i/>
      <sz val="11"/>
      <color theme="1"/>
      <name val="Calibri"/>
      <family val="2"/>
      <scheme val="minor"/>
    </font>
    <font>
      <b/>
      <sz val="11"/>
      <name val="Arial"/>
      <family val="2"/>
    </font>
    <font>
      <sz val="10"/>
      <name val="Calibri"/>
      <family val="2"/>
      <scheme val="minor"/>
    </font>
    <font>
      <b/>
      <sz val="10"/>
      <name val="Calibri"/>
      <family val="2"/>
      <scheme val="minor"/>
    </font>
    <font>
      <sz val="9"/>
      <name val="Calibri"/>
      <family val="2"/>
      <scheme val="minor"/>
    </font>
    <font>
      <b/>
      <sz val="9"/>
      <name val="Calibri"/>
      <family val="2"/>
      <scheme val="minor"/>
    </font>
    <font>
      <b/>
      <sz val="9"/>
      <color theme="1"/>
      <name val="Calibri"/>
      <family val="2"/>
      <scheme val="minor"/>
    </font>
    <font>
      <vertAlign val="subscript"/>
      <sz val="9"/>
      <name val="Calibri"/>
      <family val="2"/>
      <scheme val="minor"/>
    </font>
    <font>
      <b/>
      <sz val="12"/>
      <color theme="1"/>
      <name val="Calibri"/>
      <family val="2"/>
      <scheme val="minor"/>
    </font>
    <font>
      <sz val="11"/>
      <color rgb="FFFF0000"/>
      <name val="Calibri"/>
      <family val="2"/>
      <scheme val="minor"/>
    </font>
    <font>
      <b/>
      <sz val="10"/>
      <name val="Arial"/>
      <family val="2"/>
    </font>
    <font>
      <b/>
      <sz val="8"/>
      <name val="Calibri"/>
      <family val="2"/>
      <scheme val="minor"/>
    </font>
    <font>
      <sz val="9"/>
      <name val="Arial"/>
      <family val="2"/>
    </font>
    <font>
      <b/>
      <sz val="10"/>
      <color rgb="FFFF0000"/>
      <name val="Arial"/>
      <family val="2"/>
    </font>
  </fonts>
  <fills count="17">
    <fill>
      <patternFill patternType="none"/>
    </fill>
    <fill>
      <patternFill patternType="gray125"/>
    </fill>
    <fill>
      <patternFill patternType="solid">
        <fgColor theme="8" tint="0.39997558519241921"/>
        <bgColor indexed="64"/>
      </patternFill>
    </fill>
    <fill>
      <patternFill patternType="solid">
        <fgColor rgb="FFFFFFCC"/>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599963377788628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4659260841701"/>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1" fillId="0" borderId="0" applyFont="0" applyFill="0" applyBorder="0" applyAlignment="0" applyProtection="0"/>
    <xf numFmtId="0" fontId="10" fillId="0" borderId="0"/>
  </cellStyleXfs>
  <cellXfs count="391">
    <xf numFmtId="0" fontId="0" fillId="0" borderId="0" xfId="0"/>
    <xf numFmtId="1" fontId="0" fillId="0" borderId="0" xfId="0" applyNumberFormat="1"/>
    <xf numFmtId="0" fontId="0" fillId="0" borderId="1" xfId="0" applyBorder="1"/>
    <xf numFmtId="0" fontId="0" fillId="0" borderId="0" xfId="0" applyAlignment="1">
      <alignment horizontal="center" shrinkToFit="1"/>
    </xf>
    <xf numFmtId="0" fontId="0" fillId="0" borderId="0" xfId="0" applyAlignment="1">
      <alignment wrapText="1"/>
    </xf>
    <xf numFmtId="0" fontId="0" fillId="0" borderId="0" xfId="0" applyBorder="1"/>
    <xf numFmtId="0" fontId="12" fillId="0" borderId="0" xfId="0" applyFont="1" applyBorder="1" applyAlignment="1">
      <alignment horizontal="right" vertical="center"/>
    </xf>
    <xf numFmtId="0" fontId="0" fillId="0" borderId="0" xfId="0" applyFill="1" applyBorder="1"/>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xf>
    <xf numFmtId="0" fontId="12" fillId="0" borderId="0" xfId="0" applyFont="1" applyFill="1" applyBorder="1" applyAlignment="1" applyProtection="1">
      <alignment vertical="center" wrapText="1"/>
    </xf>
    <xf numFmtId="0" fontId="12" fillId="4" borderId="0" xfId="0" applyFont="1" applyFill="1" applyAlignment="1">
      <alignment horizontal="center" vertical="center"/>
    </xf>
    <xf numFmtId="0" fontId="0" fillId="0" borderId="0" xfId="0" applyAlignment="1"/>
    <xf numFmtId="0" fontId="12" fillId="0" borderId="0" xfId="0" applyFont="1" applyFill="1" applyAlignment="1">
      <alignment horizontal="center" vertical="center"/>
    </xf>
    <xf numFmtId="0" fontId="0" fillId="0" borderId="0" xfId="0" applyFill="1"/>
    <xf numFmtId="0" fontId="0" fillId="0" borderId="0" xfId="0" applyAlignment="1">
      <alignment horizontal="right"/>
    </xf>
    <xf numFmtId="0" fontId="0" fillId="0" borderId="0" xfId="0" applyFill="1" applyAlignment="1">
      <alignment horizontal="right"/>
    </xf>
    <xf numFmtId="0" fontId="0" fillId="0" borderId="0" xfId="0" applyAlignment="1">
      <alignment horizontal="left"/>
    </xf>
    <xf numFmtId="0" fontId="0" fillId="0" borderId="0" xfId="0" applyFill="1" applyBorder="1" applyAlignment="1">
      <alignment horizontal="right" vertical="center"/>
    </xf>
    <xf numFmtId="0" fontId="15" fillId="0" borderId="0" xfId="2" quotePrefix="1" applyFont="1" applyFill="1" applyBorder="1" applyAlignment="1">
      <alignment horizontal="left" vertical="top" wrapText="1"/>
    </xf>
    <xf numFmtId="0" fontId="15" fillId="0" borderId="0" xfId="2" applyFont="1" applyFill="1" applyAlignment="1">
      <alignment horizontal="right" vertical="center"/>
    </xf>
    <xf numFmtId="0" fontId="15" fillId="0" borderId="0" xfId="2" quotePrefix="1" applyFont="1" applyFill="1" applyAlignment="1">
      <alignment horizontal="left" vertical="top" wrapText="1"/>
    </xf>
    <xf numFmtId="0" fontId="15" fillId="0" borderId="0" xfId="2" applyFont="1" applyFill="1" applyAlignment="1">
      <alignment horizontal="left" vertical="top" wrapText="1"/>
    </xf>
    <xf numFmtId="0" fontId="15" fillId="0" borderId="0" xfId="2" applyFont="1" applyFill="1"/>
    <xf numFmtId="0" fontId="0" fillId="0" borderId="0" xfId="0" applyFont="1"/>
    <xf numFmtId="0" fontId="16" fillId="0" borderId="0" xfId="2" applyFont="1" applyFill="1" applyBorder="1" applyAlignment="1">
      <alignment horizontal="right" vertical="top"/>
    </xf>
    <xf numFmtId="0" fontId="15" fillId="0" borderId="0" xfId="2" quotePrefix="1" applyFont="1" applyFill="1" applyAlignment="1">
      <alignment horizontal="left"/>
    </xf>
    <xf numFmtId="165" fontId="15" fillId="0" borderId="0" xfId="2" applyNumberFormat="1" applyFont="1" applyFill="1" applyBorder="1" applyAlignment="1">
      <alignment horizontal="center" vertical="center" wrapText="1"/>
    </xf>
    <xf numFmtId="14" fontId="15" fillId="0" borderId="0" xfId="2" applyNumberFormat="1" applyFont="1" applyFill="1" applyBorder="1" applyAlignment="1">
      <alignment horizontal="center" vertical="center" wrapText="1"/>
    </xf>
    <xf numFmtId="0" fontId="15" fillId="0" borderId="0" xfId="2" applyFont="1" applyFill="1" applyBorder="1" applyAlignment="1">
      <alignment horizontal="left" vertical="top" wrapText="1"/>
    </xf>
    <xf numFmtId="0" fontId="15" fillId="0" borderId="0" xfId="2" applyFont="1" applyFill="1" applyBorder="1" applyAlignment="1">
      <alignment vertical="top" wrapText="1"/>
    </xf>
    <xf numFmtId="2" fontId="15" fillId="0" borderId="0" xfId="2" quotePrefix="1" applyNumberFormat="1" applyFont="1" applyFill="1" applyBorder="1" applyAlignment="1">
      <alignment horizontal="center"/>
    </xf>
    <xf numFmtId="0" fontId="16" fillId="5" borderId="1" xfId="2" applyFont="1" applyFill="1" applyBorder="1" applyAlignment="1">
      <alignment horizontal="center" vertical="center"/>
    </xf>
    <xf numFmtId="165" fontId="15" fillId="0" borderId="1" xfId="2" applyNumberFormat="1" applyFont="1" applyFill="1" applyBorder="1" applyAlignment="1">
      <alignment horizontal="center" vertical="center" wrapText="1"/>
    </xf>
    <xf numFmtId="14" fontId="15" fillId="0" borderId="1" xfId="2" applyNumberFormat="1" applyFont="1" applyFill="1" applyBorder="1" applyAlignment="1">
      <alignment horizontal="center" vertical="center" wrapText="1"/>
    </xf>
    <xf numFmtId="0" fontId="10" fillId="0" borderId="0" xfId="0" applyFont="1" applyAlignment="1">
      <alignment horizontal="right"/>
    </xf>
    <xf numFmtId="0" fontId="10" fillId="0" borderId="0" xfId="0" applyFont="1" applyFill="1" applyBorder="1" applyAlignment="1">
      <alignment horizontal="right" vertical="center"/>
    </xf>
    <xf numFmtId="0" fontId="0" fillId="0" borderId="7" xfId="0" applyBorder="1"/>
    <xf numFmtId="0" fontId="12" fillId="0" borderId="0" xfId="0" applyFont="1" applyFill="1" applyBorder="1" applyAlignment="1">
      <alignment horizontal="center" vertical="center"/>
    </xf>
    <xf numFmtId="0" fontId="17" fillId="0" borderId="0" xfId="0" applyFont="1" applyBorder="1"/>
    <xf numFmtId="0" fontId="17" fillId="0" borderId="0" xfId="0" applyFont="1" applyBorder="1" applyProtection="1"/>
    <xf numFmtId="0" fontId="17" fillId="0" borderId="0" xfId="0" applyFont="1" applyFill="1" applyBorder="1"/>
    <xf numFmtId="0" fontId="12" fillId="0" borderId="0" xfId="0" applyFont="1" applyFill="1" applyBorder="1" applyAlignment="1" applyProtection="1">
      <alignment vertical="center"/>
    </xf>
    <xf numFmtId="0" fontId="17" fillId="0" borderId="0" xfId="0" applyFont="1" applyFill="1" applyBorder="1" applyProtection="1"/>
    <xf numFmtId="0" fontId="7" fillId="0" borderId="4"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vertical="center"/>
    </xf>
    <xf numFmtId="0" fontId="18" fillId="0" borderId="0" xfId="0" applyFont="1" applyFill="1" applyBorder="1" applyAlignment="1" applyProtection="1">
      <alignment horizontal="center" vertical="center"/>
    </xf>
    <xf numFmtId="0" fontId="7" fillId="0" borderId="0" xfId="0" quotePrefix="1" applyFont="1" applyFill="1" applyBorder="1" applyAlignment="1" applyProtection="1">
      <alignment horizontal="center" vertical="center"/>
    </xf>
    <xf numFmtId="0" fontId="7"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center"/>
    </xf>
    <xf numFmtId="0" fontId="17" fillId="0" borderId="0" xfId="0" applyFont="1" applyFill="1" applyBorder="1" applyAlignment="1">
      <alignment horizontal="center"/>
    </xf>
    <xf numFmtId="164" fontId="17" fillId="0" borderId="0" xfId="0" applyNumberFormat="1" applyFont="1" applyFill="1" applyBorder="1" applyAlignment="1">
      <alignment horizontal="center"/>
    </xf>
    <xf numFmtId="1" fontId="17" fillId="0" borderId="0" xfId="0" applyNumberFormat="1" applyFont="1" applyFill="1" applyBorder="1" applyAlignment="1">
      <alignment horizontal="center"/>
    </xf>
    <xf numFmtId="0" fontId="7" fillId="0" borderId="7" xfId="0" applyFont="1" applyFill="1" applyBorder="1" applyAlignment="1" applyProtection="1">
      <alignment horizontal="left" vertical="top"/>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164" fontId="7" fillId="0" borderId="0" xfId="1"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xf>
    <xf numFmtId="0" fontId="17" fillId="0" borderId="7" xfId="0" applyFont="1" applyBorder="1"/>
    <xf numFmtId="0" fontId="20" fillId="0" borderId="0" xfId="0" applyFont="1" applyBorder="1"/>
    <xf numFmtId="0" fontId="26" fillId="0" borderId="0" xfId="0" applyFont="1" applyFill="1" applyBorder="1" applyAlignment="1">
      <alignment horizontal="right" vertical="center"/>
    </xf>
    <xf numFmtId="0" fontId="15" fillId="0" borderId="0" xfId="0" applyFont="1" applyBorder="1"/>
    <xf numFmtId="0" fontId="10" fillId="0" borderId="0" xfId="0" applyFont="1" applyFill="1" applyAlignment="1">
      <alignment horizontal="right"/>
    </xf>
    <xf numFmtId="0" fontId="15" fillId="0" borderId="4" xfId="0" applyFont="1" applyBorder="1"/>
    <xf numFmtId="0" fontId="7" fillId="0" borderId="0" xfId="0" applyFont="1" applyFill="1" applyBorder="1" applyAlignment="1" applyProtection="1">
      <alignment horizontal="center" vertical="center" wrapText="1"/>
    </xf>
    <xf numFmtId="0" fontId="26" fillId="0" borderId="0" xfId="0" applyFont="1" applyFill="1" applyBorder="1" applyAlignment="1">
      <alignment horizontal="left" vertical="center"/>
    </xf>
    <xf numFmtId="0" fontId="27" fillId="0" borderId="0" xfId="0" applyFont="1" applyBorder="1"/>
    <xf numFmtId="0" fontId="14" fillId="0" borderId="0" xfId="0" applyFont="1" applyFill="1" applyBorder="1" applyAlignment="1" applyProtection="1">
      <alignment horizontal="center" vertical="center"/>
    </xf>
    <xf numFmtId="0" fontId="0" fillId="0" borderId="4" xfId="0" applyBorder="1"/>
    <xf numFmtId="0" fontId="19" fillId="0" borderId="5" xfId="0" applyFont="1" applyFill="1" applyBorder="1" applyAlignment="1" applyProtection="1">
      <alignment vertical="center"/>
    </xf>
    <xf numFmtId="0" fontId="0" fillId="0" borderId="9" xfId="0" applyBorder="1"/>
    <xf numFmtId="0" fontId="20" fillId="9" borderId="0" xfId="0" applyFont="1" applyFill="1"/>
    <xf numFmtId="0" fontId="0" fillId="9" borderId="0" xfId="0" applyFill="1"/>
    <xf numFmtId="0" fontId="0" fillId="0" borderId="0" xfId="0" applyFill="1" applyAlignment="1">
      <alignment horizontal="center" shrinkToFit="1"/>
    </xf>
    <xf numFmtId="0" fontId="0" fillId="0" borderId="4" xfId="0" applyFill="1" applyBorder="1"/>
    <xf numFmtId="0" fontId="0" fillId="0" borderId="5" xfId="0"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0" fillId="0" borderId="0" xfId="0" applyFill="1" applyBorder="1" applyAlignment="1">
      <alignment wrapText="1"/>
    </xf>
    <xf numFmtId="0" fontId="0" fillId="0" borderId="12" xfId="0" applyBorder="1" applyAlignment="1">
      <alignment wrapText="1"/>
    </xf>
    <xf numFmtId="0" fontId="0" fillId="0" borderId="5" xfId="0" applyBorder="1"/>
    <xf numFmtId="0" fontId="28" fillId="0" borderId="0" xfId="0" applyFont="1" applyFill="1" applyBorder="1" applyAlignment="1">
      <alignment horizontal="right" vertical="center"/>
    </xf>
    <xf numFmtId="0" fontId="0" fillId="0" borderId="12" xfId="0" applyBorder="1"/>
    <xf numFmtId="0" fontId="28" fillId="0" borderId="0" xfId="0" applyFont="1" applyFill="1" applyBorder="1" applyAlignment="1">
      <alignment horizontal="right"/>
    </xf>
    <xf numFmtId="2" fontId="0" fillId="0" borderId="12" xfId="0" applyNumberFormat="1" applyBorder="1" applyAlignment="1">
      <alignment horizontal="right"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0" fillId="10" borderId="5" xfId="0" applyFill="1" applyBorder="1"/>
    <xf numFmtId="0" fontId="0" fillId="10" borderId="0" xfId="0" applyFill="1" applyBorder="1"/>
    <xf numFmtId="0" fontId="0" fillId="0" borderId="7" xfId="0" applyFill="1" applyBorder="1"/>
    <xf numFmtId="0" fontId="0" fillId="0" borderId="8" xfId="0" applyBorder="1"/>
    <xf numFmtId="0" fontId="28" fillId="0" borderId="0" xfId="0" applyFont="1" applyBorder="1" applyAlignment="1"/>
    <xf numFmtId="0" fontId="0" fillId="10" borderId="6" xfId="0" applyFill="1" applyBorder="1"/>
    <xf numFmtId="0" fontId="0" fillId="10" borderId="7" xfId="0" applyFill="1" applyBorder="1"/>
    <xf numFmtId="0" fontId="0" fillId="0" borderId="5"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wrapText="1"/>
    </xf>
    <xf numFmtId="0" fontId="10" fillId="0" borderId="0" xfId="0" applyFont="1" applyBorder="1"/>
    <xf numFmtId="0" fontId="10" fillId="0" borderId="0" xfId="0" applyFont="1" applyFill="1" applyBorder="1"/>
    <xf numFmtId="0" fontId="0" fillId="0" borderId="5" xfId="0" applyFill="1" applyBorder="1"/>
    <xf numFmtId="0" fontId="10" fillId="10" borderId="0" xfId="0" applyFont="1" applyFill="1" applyBorder="1"/>
    <xf numFmtId="0" fontId="10" fillId="10" borderId="7" xfId="0" applyFont="1" applyFill="1" applyBorder="1"/>
    <xf numFmtId="0" fontId="0" fillId="9" borderId="0" xfId="0" applyFill="1" applyBorder="1"/>
    <xf numFmtId="0" fontId="20" fillId="9" borderId="0" xfId="0" applyFont="1" applyFill="1" applyBorder="1"/>
    <xf numFmtId="0" fontId="7" fillId="9" borderId="0" xfId="0" applyFont="1" applyFill="1" applyBorder="1" applyAlignment="1" applyProtection="1">
      <alignment vertical="top" wrapText="1"/>
    </xf>
    <xf numFmtId="0" fontId="17" fillId="0" borderId="5" xfId="0" applyFont="1" applyFill="1" applyBorder="1" applyAlignment="1">
      <alignment vertical="center"/>
    </xf>
    <xf numFmtId="0" fontId="17" fillId="0" borderId="12" xfId="0" applyFont="1" applyBorder="1"/>
    <xf numFmtId="0" fontId="12" fillId="0" borderId="11" xfId="0" applyFont="1" applyFill="1" applyBorder="1" applyAlignment="1">
      <alignment vertical="center"/>
    </xf>
    <xf numFmtId="0" fontId="15" fillId="0" borderId="10" xfId="0" applyFont="1" applyBorder="1"/>
    <xf numFmtId="0" fontId="12" fillId="0" borderId="5" xfId="0" applyFont="1" applyFill="1" applyBorder="1" applyAlignment="1">
      <alignment vertical="center"/>
    </xf>
    <xf numFmtId="0" fontId="15" fillId="0" borderId="12" xfId="0" applyFont="1" applyBorder="1"/>
    <xf numFmtId="0" fontId="20" fillId="0" borderId="5" xfId="0" applyFont="1" applyBorder="1"/>
    <xf numFmtId="0" fontId="20" fillId="0" borderId="12" xfId="0" applyFont="1" applyBorder="1"/>
    <xf numFmtId="0" fontId="20" fillId="0" borderId="6" xfId="0" applyFont="1" applyBorder="1"/>
    <xf numFmtId="0" fontId="7" fillId="0" borderId="27" xfId="0" applyFont="1" applyFill="1" applyBorder="1" applyAlignment="1" applyProtection="1">
      <alignment vertical="top" wrapText="1"/>
    </xf>
    <xf numFmtId="0" fontId="20" fillId="0" borderId="8" xfId="0" applyFont="1" applyBorder="1"/>
    <xf numFmtId="0" fontId="12" fillId="0" borderId="5" xfId="0" applyFont="1" applyFill="1" applyBorder="1" applyAlignment="1">
      <alignment horizontal="right" vertical="center"/>
    </xf>
    <xf numFmtId="0" fontId="12" fillId="0" borderId="12" xfId="0" applyFont="1" applyFill="1" applyBorder="1" applyAlignment="1">
      <alignment horizontal="right" vertical="center"/>
    </xf>
    <xf numFmtId="0" fontId="7" fillId="0" borderId="12" xfId="0" applyFont="1" applyFill="1" applyBorder="1" applyAlignment="1" applyProtection="1">
      <alignment horizontal="left" vertical="top"/>
      <protection locked="0"/>
    </xf>
    <xf numFmtId="0" fontId="17" fillId="0" borderId="12" xfId="0" applyFont="1" applyFill="1" applyBorder="1" applyProtection="1"/>
    <xf numFmtId="0" fontId="12" fillId="0" borderId="6" xfId="0" applyFont="1" applyFill="1" applyBorder="1" applyAlignment="1">
      <alignment vertical="center"/>
    </xf>
    <xf numFmtId="0" fontId="17" fillId="0" borderId="8" xfId="0" applyFont="1" applyBorder="1"/>
    <xf numFmtId="0" fontId="15" fillId="0" borderId="0" xfId="0" applyFont="1" applyBorder="1" applyProtection="1"/>
    <xf numFmtId="0" fontId="10" fillId="0" borderId="0" xfId="0" applyFont="1" applyAlignment="1">
      <alignment horizontal="right" vertical="center"/>
    </xf>
    <xf numFmtId="0" fontId="0" fillId="0" borderId="0" xfId="0" applyFill="1" applyAlignment="1">
      <alignment horizontal="right" vertical="center"/>
    </xf>
    <xf numFmtId="0" fontId="0" fillId="11" borderId="4" xfId="0" applyFill="1" applyBorder="1"/>
    <xf numFmtId="0" fontId="0" fillId="11" borderId="0" xfId="0" applyFill="1" applyBorder="1"/>
    <xf numFmtId="0" fontId="0" fillId="12" borderId="0" xfId="0" applyFill="1"/>
    <xf numFmtId="0" fontId="20" fillId="12" borderId="0" xfId="0" applyFont="1" applyFill="1" applyAlignment="1">
      <alignment vertical="center"/>
    </xf>
    <xf numFmtId="0" fontId="22" fillId="12" borderId="0" xfId="0" applyFont="1" applyFill="1" applyBorder="1"/>
    <xf numFmtId="0" fontId="23" fillId="12" borderId="0" xfId="0" applyFont="1" applyFill="1" applyBorder="1" applyAlignment="1">
      <alignment horizontal="center" vertical="center"/>
    </xf>
    <xf numFmtId="0" fontId="22" fillId="12" borderId="12" xfId="0" applyFont="1" applyFill="1" applyBorder="1"/>
    <xf numFmtId="0" fontId="23" fillId="12" borderId="1" xfId="0" applyFont="1" applyFill="1" applyBorder="1" applyAlignment="1" applyProtection="1">
      <alignment horizontal="center" vertical="center"/>
    </xf>
    <xf numFmtId="0" fontId="23" fillId="12" borderId="0" xfId="0" applyNumberFormat="1" applyFont="1" applyFill="1" applyBorder="1" applyAlignment="1" applyProtection="1">
      <alignment horizontal="center" vertical="center"/>
    </xf>
    <xf numFmtId="165" fontId="22" fillId="12" borderId="1" xfId="0" applyNumberFormat="1" applyFont="1" applyFill="1" applyBorder="1" applyAlignment="1" applyProtection="1">
      <alignment horizontal="center" vertical="center"/>
    </xf>
    <xf numFmtId="0" fontId="22" fillId="12" borderId="13" xfId="0" applyFont="1" applyFill="1" applyBorder="1" applyAlignment="1">
      <alignment horizontal="right" vertical="center"/>
    </xf>
    <xf numFmtId="0" fontId="22" fillId="12" borderId="1" xfId="0" applyFont="1" applyFill="1" applyBorder="1" applyAlignment="1" applyProtection="1">
      <alignment horizontal="center" vertical="center"/>
    </xf>
    <xf numFmtId="0" fontId="22" fillId="12" borderId="1" xfId="0" applyFont="1" applyFill="1" applyBorder="1" applyAlignment="1">
      <alignment horizontal="center"/>
    </xf>
    <xf numFmtId="0" fontId="22" fillId="12" borderId="5" xfId="0" applyFont="1" applyFill="1" applyBorder="1" applyAlignment="1">
      <alignment horizontal="right"/>
    </xf>
    <xf numFmtId="1" fontId="22" fillId="12" borderId="1" xfId="0" applyNumberFormat="1" applyFont="1" applyFill="1" applyBorder="1" applyAlignment="1" applyProtection="1">
      <alignment horizontal="center" vertical="center"/>
    </xf>
    <xf numFmtId="0" fontId="22" fillId="12" borderId="0" xfId="0" applyFont="1" applyFill="1" applyBorder="1" applyAlignment="1">
      <alignment horizontal="center" vertical="center"/>
    </xf>
    <xf numFmtId="0" fontId="20" fillId="12" borderId="0" xfId="0" applyFont="1" applyFill="1"/>
    <xf numFmtId="0" fontId="23" fillId="12" borderId="5" xfId="0" applyFont="1" applyFill="1" applyBorder="1" applyAlignment="1" applyProtection="1">
      <alignment horizontal="right"/>
    </xf>
    <xf numFmtId="0" fontId="22" fillId="12" borderId="0" xfId="0" applyFont="1" applyFill="1" applyBorder="1" applyProtection="1"/>
    <xf numFmtId="0" fontId="22" fillId="12" borderId="0" xfId="0" applyFont="1" applyFill="1" applyBorder="1" applyAlignment="1" applyProtection="1">
      <alignment horizontal="center"/>
    </xf>
    <xf numFmtId="1" fontId="22" fillId="12" borderId="0" xfId="0" applyNumberFormat="1" applyFont="1" applyFill="1" applyBorder="1" applyAlignment="1" applyProtection="1">
      <alignment horizontal="center" vertical="center"/>
    </xf>
    <xf numFmtId="166" fontId="22" fillId="12" borderId="0" xfId="0" applyNumberFormat="1" applyFont="1" applyFill="1" applyBorder="1" applyProtection="1"/>
    <xf numFmtId="2" fontId="22" fillId="12" borderId="0" xfId="0" applyNumberFormat="1" applyFont="1" applyFill="1" applyBorder="1" applyProtection="1"/>
    <xf numFmtId="2" fontId="22" fillId="12" borderId="0" xfId="0" applyNumberFormat="1" applyFont="1" applyFill="1" applyBorder="1" applyAlignment="1" applyProtection="1"/>
    <xf numFmtId="0" fontId="22" fillId="12" borderId="5" xfId="0" applyFont="1" applyFill="1" applyBorder="1"/>
    <xf numFmtId="165" fontId="22" fillId="12" borderId="0" xfId="0" applyNumberFormat="1" applyFont="1" applyFill="1" applyBorder="1" applyAlignment="1" applyProtection="1">
      <alignment horizontal="center" vertical="center"/>
    </xf>
    <xf numFmtId="0" fontId="22" fillId="12" borderId="0" xfId="0" applyFont="1" applyFill="1" applyBorder="1" applyAlignment="1" applyProtection="1"/>
    <xf numFmtId="2" fontId="22" fillId="12" borderId="1" xfId="0" applyNumberFormat="1" applyFont="1" applyFill="1" applyBorder="1" applyAlignment="1" applyProtection="1">
      <alignment horizontal="center" vertical="center"/>
    </xf>
    <xf numFmtId="0" fontId="22" fillId="12" borderId="7" xfId="0" applyFont="1" applyFill="1" applyBorder="1"/>
    <xf numFmtId="1" fontId="22" fillId="12" borderId="1" xfId="0" applyNumberFormat="1" applyFont="1" applyFill="1" applyBorder="1" applyAlignment="1">
      <alignment horizontal="center" vertical="center"/>
    </xf>
    <xf numFmtId="0" fontId="0" fillId="12" borderId="0" xfId="0" applyFill="1" applyBorder="1" applyProtection="1"/>
    <xf numFmtId="0" fontId="9" fillId="12" borderId="0" xfId="0" applyFont="1" applyFill="1" applyBorder="1" applyAlignment="1">
      <alignment vertical="center"/>
    </xf>
    <xf numFmtId="0" fontId="20" fillId="12" borderId="0" xfId="0" applyFont="1" applyFill="1" applyBorder="1" applyAlignment="1">
      <alignment vertical="center"/>
    </xf>
    <xf numFmtId="0" fontId="20" fillId="12" borderId="0" xfId="0" applyFont="1" applyFill="1" applyBorder="1" applyProtection="1"/>
    <xf numFmtId="9" fontId="22" fillId="12" borderId="0" xfId="0" applyNumberFormat="1" applyFont="1" applyFill="1" applyBorder="1" applyAlignment="1" applyProtection="1">
      <alignment horizontal="center" vertical="center"/>
    </xf>
    <xf numFmtId="0" fontId="13" fillId="12" borderId="0" xfId="0" applyFont="1" applyFill="1" applyBorder="1" applyAlignment="1" applyProtection="1">
      <alignment horizontal="left" vertical="top"/>
      <protection locked="0"/>
    </xf>
    <xf numFmtId="0" fontId="20" fillId="12" borderId="0" xfId="0" applyFont="1" applyFill="1" applyBorder="1"/>
    <xf numFmtId="0" fontId="22" fillId="12" borderId="5" xfId="0" applyFont="1" applyFill="1" applyBorder="1" applyProtection="1"/>
    <xf numFmtId="9" fontId="21" fillId="12" borderId="0" xfId="0" applyNumberFormat="1" applyFont="1" applyFill="1" applyBorder="1" applyAlignment="1" applyProtection="1">
      <alignment horizontal="center" vertical="center"/>
    </xf>
    <xf numFmtId="0" fontId="23" fillId="12" borderId="5" xfId="0" applyFont="1" applyFill="1" applyBorder="1" applyAlignment="1" applyProtection="1">
      <alignment horizontal="center" vertical="center"/>
    </xf>
    <xf numFmtId="164" fontId="23" fillId="12" borderId="0" xfId="0" applyNumberFormat="1" applyFont="1" applyFill="1" applyBorder="1" applyAlignment="1" applyProtection="1">
      <alignment horizontal="center" vertical="center"/>
    </xf>
    <xf numFmtId="0" fontId="0" fillId="12" borderId="0" xfId="0" applyFill="1" applyBorder="1"/>
    <xf numFmtId="2" fontId="20" fillId="12" borderId="0" xfId="0" applyNumberFormat="1" applyFont="1" applyFill="1"/>
    <xf numFmtId="0" fontId="22" fillId="12" borderId="8" xfId="0" applyFont="1" applyFill="1" applyBorder="1"/>
    <xf numFmtId="0" fontId="22" fillId="12" borderId="0" xfId="0" applyFont="1" applyFill="1"/>
    <xf numFmtId="0" fontId="12" fillId="12" borderId="1" xfId="0" applyFont="1" applyFill="1" applyBorder="1" applyAlignment="1">
      <alignment vertical="center"/>
    </xf>
    <xf numFmtId="0" fontId="22" fillId="12" borderId="0" xfId="0" quotePrefix="1" applyNumberFormat="1" applyFont="1" applyFill="1" applyBorder="1" applyAlignment="1">
      <alignment horizontal="right" vertical="center"/>
    </xf>
    <xf numFmtId="0" fontId="20" fillId="12" borderId="1" xfId="0" applyFont="1" applyFill="1" applyBorder="1" applyAlignment="1">
      <alignment horizontal="center" vertical="center"/>
    </xf>
    <xf numFmtId="0" fontId="22" fillId="12" borderId="0" xfId="0" applyNumberFormat="1" applyFont="1" applyFill="1" applyBorder="1" applyAlignment="1">
      <alignment horizontal="right" vertical="center"/>
    </xf>
    <xf numFmtId="1" fontId="22" fillId="12" borderId="14" xfId="0" applyNumberFormat="1" applyFont="1" applyFill="1" applyBorder="1" applyAlignment="1">
      <alignment horizontal="center" vertical="center"/>
    </xf>
    <xf numFmtId="0" fontId="23" fillId="12" borderId="4" xfId="0" applyFont="1" applyFill="1" applyBorder="1" applyAlignment="1">
      <alignment horizontal="center" vertical="center"/>
    </xf>
    <xf numFmtId="0" fontId="23" fillId="12" borderId="10" xfId="0" applyFont="1" applyFill="1" applyBorder="1" applyAlignment="1">
      <alignment horizontal="center" vertical="center"/>
    </xf>
    <xf numFmtId="0" fontId="23" fillId="12" borderId="5" xfId="0" applyFont="1" applyFill="1" applyBorder="1" applyAlignment="1">
      <alignment vertical="center"/>
    </xf>
    <xf numFmtId="0" fontId="23" fillId="12" borderId="0" xfId="0" applyNumberFormat="1" applyFont="1" applyFill="1" applyBorder="1" applyAlignment="1" applyProtection="1">
      <alignment horizontal="center" vertical="center" wrapText="1"/>
    </xf>
    <xf numFmtId="0" fontId="0" fillId="12" borderId="12" xfId="0" applyFill="1" applyBorder="1"/>
    <xf numFmtId="1" fontId="22" fillId="12" borderId="9" xfId="0" applyNumberFormat="1" applyFont="1" applyFill="1" applyBorder="1" applyAlignment="1" applyProtection="1">
      <alignment horizontal="center" vertical="center"/>
    </xf>
    <xf numFmtId="1" fontId="22" fillId="12" borderId="3" xfId="0" applyNumberFormat="1" applyFont="1" applyFill="1" applyBorder="1" applyAlignment="1" applyProtection="1">
      <alignment horizontal="center" vertical="center"/>
    </xf>
    <xf numFmtId="0" fontId="0" fillId="12" borderId="6" xfId="0" applyFill="1" applyBorder="1"/>
    <xf numFmtId="0" fontId="0" fillId="12" borderId="7" xfId="0" applyFill="1" applyBorder="1"/>
    <xf numFmtId="0" fontId="0" fillId="12" borderId="8" xfId="0" applyFill="1" applyBorder="1"/>
    <xf numFmtId="0" fontId="23" fillId="12" borderId="14" xfId="0" applyFont="1" applyFill="1" applyBorder="1" applyAlignment="1">
      <alignment horizontal="center" vertical="center"/>
    </xf>
    <xf numFmtId="0" fontId="23" fillId="12" borderId="15" xfId="0" applyFont="1" applyFill="1" applyBorder="1" applyAlignment="1">
      <alignment horizontal="center" vertical="center"/>
    </xf>
    <xf numFmtId="0" fontId="23" fillId="12" borderId="1" xfId="0" applyFont="1" applyFill="1" applyBorder="1" applyAlignment="1">
      <alignment horizontal="center" vertical="center"/>
    </xf>
    <xf numFmtId="0" fontId="22" fillId="12" borderId="1" xfId="0" applyFont="1" applyFill="1" applyBorder="1" applyAlignment="1">
      <alignment horizontal="center" vertical="center"/>
    </xf>
    <xf numFmtId="0" fontId="0" fillId="0" borderId="0" xfId="0" applyAlignment="1">
      <alignment horizontal="center"/>
    </xf>
    <xf numFmtId="0" fontId="0" fillId="0" borderId="6" xfId="0" applyBorder="1"/>
    <xf numFmtId="0" fontId="0" fillId="4" borderId="0" xfId="0" applyFill="1"/>
    <xf numFmtId="0" fontId="10" fillId="0" borderId="0" xfId="0" applyFont="1" applyAlignment="1">
      <alignment horizontal="center"/>
    </xf>
    <xf numFmtId="1" fontId="0" fillId="0" borderId="12" xfId="0" applyNumberFormat="1" applyBorder="1"/>
    <xf numFmtId="1" fontId="0" fillId="0" borderId="8" xfId="0" applyNumberFormat="1" applyBorder="1"/>
    <xf numFmtId="0" fontId="12" fillId="12" borderId="4" xfId="0" applyFont="1" applyFill="1" applyBorder="1" applyAlignment="1">
      <alignment vertical="center"/>
    </xf>
    <xf numFmtId="0" fontId="12" fillId="12" borderId="10" xfId="0" applyFont="1" applyFill="1" applyBorder="1" applyAlignment="1">
      <alignment vertical="center"/>
    </xf>
    <xf numFmtId="0" fontId="30" fillId="12" borderId="11" xfId="0" applyFont="1" applyFill="1" applyBorder="1" applyAlignment="1">
      <alignment horizontal="center" vertical="center"/>
    </xf>
    <xf numFmtId="0" fontId="8" fillId="12" borderId="10" xfId="0" applyFont="1" applyFill="1" applyBorder="1" applyAlignment="1">
      <alignment horizontal="center" vertical="center"/>
    </xf>
    <xf numFmtId="0" fontId="30" fillId="12" borderId="5" xfId="0" applyFont="1" applyFill="1" applyBorder="1" applyAlignment="1">
      <alignment horizontal="right" vertical="center"/>
    </xf>
    <xf numFmtId="9" fontId="30" fillId="12" borderId="0" xfId="0" applyNumberFormat="1" applyFont="1" applyFill="1" applyBorder="1" applyAlignment="1">
      <alignment vertical="center"/>
    </xf>
    <xf numFmtId="0" fontId="22" fillId="12" borderId="12" xfId="0" applyFont="1" applyFill="1" applyBorder="1" applyAlignment="1">
      <alignment horizontal="center" vertical="center"/>
    </xf>
    <xf numFmtId="164" fontId="0" fillId="12" borderId="0" xfId="0" applyNumberFormat="1" applyFill="1" applyAlignment="1">
      <alignment horizontal="center" vertical="center"/>
    </xf>
    <xf numFmtId="0" fontId="30" fillId="12" borderId="5" xfId="0" applyFont="1" applyFill="1" applyBorder="1" applyAlignment="1">
      <alignment horizontal="center" vertical="center"/>
    </xf>
    <xf numFmtId="0" fontId="8" fillId="12" borderId="12" xfId="0" applyFont="1" applyFill="1" applyBorder="1" applyAlignment="1">
      <alignment horizontal="center" vertical="center"/>
    </xf>
    <xf numFmtId="0" fontId="30" fillId="12" borderId="6" xfId="0" applyFont="1" applyFill="1" applyBorder="1" applyAlignment="1">
      <alignment horizontal="right" vertical="center"/>
    </xf>
    <xf numFmtId="0" fontId="22" fillId="12" borderId="8" xfId="0" applyFont="1" applyFill="1" applyBorder="1" applyAlignment="1">
      <alignment horizontal="center" vertical="center"/>
    </xf>
    <xf numFmtId="0" fontId="30" fillId="12" borderId="7" xfId="0" applyFont="1" applyFill="1" applyBorder="1" applyAlignment="1">
      <alignment horizontal="right" vertical="center"/>
    </xf>
    <xf numFmtId="0" fontId="0" fillId="0" borderId="0" xfId="0" applyBorder="1" applyProtection="1"/>
    <xf numFmtId="0" fontId="14"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2" fillId="0" borderId="0" xfId="0" applyFont="1" applyFill="1" applyBorder="1" applyAlignment="1" applyProtection="1">
      <alignment horizontal="right"/>
    </xf>
    <xf numFmtId="0" fontId="12" fillId="0" borderId="0" xfId="0" applyFont="1" applyBorder="1" applyAlignment="1" applyProtection="1">
      <alignment horizontal="right" vertical="center"/>
    </xf>
    <xf numFmtId="0" fontId="7" fillId="0" borderId="0" xfId="0" applyFont="1" applyFill="1" applyBorder="1" applyAlignment="1" applyProtection="1">
      <alignment horizontal="left" vertical="top"/>
    </xf>
    <xf numFmtId="0" fontId="12" fillId="0" borderId="0" xfId="0" applyFont="1" applyFill="1" applyBorder="1" applyAlignment="1" applyProtection="1">
      <alignment wrapText="1"/>
    </xf>
    <xf numFmtId="0" fontId="0" fillId="0" borderId="0" xfId="0" applyProtection="1"/>
    <xf numFmtId="0" fontId="0" fillId="0" borderId="0" xfId="0" applyBorder="1" applyAlignment="1" applyProtection="1">
      <alignment vertical="center"/>
    </xf>
    <xf numFmtId="0" fontId="0" fillId="0" borderId="31" xfId="0" applyBorder="1" applyAlignment="1" applyProtection="1">
      <alignment vertical="center"/>
    </xf>
    <xf numFmtId="0" fontId="22" fillId="12" borderId="1" xfId="0" applyFont="1" applyFill="1" applyBorder="1" applyAlignment="1">
      <alignment horizontal="center" vertical="center"/>
    </xf>
    <xf numFmtId="0" fontId="22" fillId="12" borderId="1" xfId="0" applyFont="1" applyFill="1" applyBorder="1" applyAlignment="1">
      <alignment horizontal="center" vertical="center"/>
    </xf>
    <xf numFmtId="0" fontId="30" fillId="12" borderId="0" xfId="0" applyFont="1" applyFill="1"/>
    <xf numFmtId="10" fontId="30" fillId="12" borderId="1" xfId="1" applyNumberFormat="1" applyFont="1" applyFill="1" applyBorder="1"/>
    <xf numFmtId="0" fontId="22" fillId="12" borderId="15" xfId="0" applyFont="1" applyFill="1" applyBorder="1" applyAlignment="1">
      <alignment horizontal="center" vertical="center"/>
    </xf>
    <xf numFmtId="0" fontId="22" fillId="12" borderId="32" xfId="0" applyFont="1" applyFill="1" applyBorder="1" applyAlignment="1">
      <alignment horizontal="center" vertical="center"/>
    </xf>
    <xf numFmtId="0" fontId="22" fillId="14" borderId="1" xfId="0" applyFont="1" applyFill="1" applyBorder="1" applyAlignment="1">
      <alignment horizontal="center" vertical="center"/>
    </xf>
    <xf numFmtId="0" fontId="22" fillId="15" borderId="1" xfId="0" applyFont="1" applyFill="1" applyBorder="1" applyAlignment="1">
      <alignment horizontal="center" vertical="center"/>
    </xf>
    <xf numFmtId="0" fontId="22" fillId="15" borderId="32" xfId="0" applyFont="1" applyFill="1" applyBorder="1" applyAlignment="1">
      <alignment horizontal="center" vertical="center"/>
    </xf>
    <xf numFmtId="0" fontId="22" fillId="14" borderId="15" xfId="0" applyFont="1" applyFill="1" applyBorder="1" applyAlignment="1">
      <alignment horizontal="center" vertical="center"/>
    </xf>
    <xf numFmtId="0" fontId="22" fillId="16" borderId="15" xfId="0" applyFont="1" applyFill="1" applyBorder="1" applyAlignment="1">
      <alignment horizontal="center" vertical="center"/>
    </xf>
    <xf numFmtId="0" fontId="22" fillId="16" borderId="1" xfId="0" applyFont="1" applyFill="1" applyBorder="1" applyAlignment="1">
      <alignment horizontal="center" vertical="center"/>
    </xf>
    <xf numFmtId="0" fontId="22" fillId="15" borderId="0" xfId="0" applyFont="1" applyFill="1" applyBorder="1"/>
    <xf numFmtId="0" fontId="22" fillId="16" borderId="0" xfId="0" applyFont="1" applyFill="1" applyBorder="1"/>
    <xf numFmtId="0" fontId="22" fillId="14" borderId="0" xfId="0" applyFont="1" applyFill="1" applyBorder="1"/>
    <xf numFmtId="0" fontId="22" fillId="12" borderId="1" xfId="0" applyFont="1" applyFill="1" applyBorder="1" applyAlignment="1">
      <alignment horizontal="center" vertical="center"/>
    </xf>
    <xf numFmtId="0" fontId="1" fillId="0" borderId="0" xfId="0" applyFont="1" applyFill="1" applyBorder="1" applyAlignment="1" applyProtection="1">
      <alignment horizontal="left" vertical="top"/>
      <protection locked="0"/>
    </xf>
    <xf numFmtId="0" fontId="12" fillId="5" borderId="2"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3" xfId="0" applyFont="1" applyFill="1" applyBorder="1" applyAlignment="1">
      <alignment horizontal="center" vertical="center"/>
    </xf>
    <xf numFmtId="0" fontId="15" fillId="0" borderId="4" xfId="2" applyFont="1" applyFill="1" applyBorder="1" applyAlignment="1">
      <alignment horizontal="left" vertical="top" wrapText="1"/>
    </xf>
    <xf numFmtId="0" fontId="15" fillId="0" borderId="0" xfId="2" applyFont="1" applyFill="1" applyBorder="1" applyAlignment="1">
      <alignment horizontal="left" vertical="top" wrapText="1"/>
    </xf>
    <xf numFmtId="0" fontId="15" fillId="0" borderId="1" xfId="2" applyFont="1" applyFill="1" applyBorder="1" applyAlignment="1">
      <alignment vertical="center" wrapText="1"/>
    </xf>
    <xf numFmtId="0" fontId="15" fillId="0" borderId="1" xfId="2" applyFont="1" applyFill="1" applyBorder="1" applyAlignment="1">
      <alignment vertical="top" wrapText="1"/>
    </xf>
    <xf numFmtId="0" fontId="16" fillId="5" borderId="1" xfId="2" applyFont="1" applyFill="1" applyBorder="1" applyAlignment="1">
      <alignment horizontal="center" vertical="center"/>
    </xf>
    <xf numFmtId="0" fontId="23" fillId="12" borderId="2" xfId="0" applyFont="1" applyFill="1" applyBorder="1" applyAlignment="1">
      <alignment horizontal="center" vertical="center"/>
    </xf>
    <xf numFmtId="0" fontId="23" fillId="12" borderId="9" xfId="0" applyFont="1" applyFill="1" applyBorder="1" applyAlignment="1">
      <alignment horizontal="center" vertical="center"/>
    </xf>
    <xf numFmtId="0" fontId="23" fillId="12" borderId="3" xfId="0" applyFont="1" applyFill="1" applyBorder="1" applyAlignment="1">
      <alignment horizontal="center" vertical="center"/>
    </xf>
    <xf numFmtId="0" fontId="23" fillId="12" borderId="14" xfId="0" applyFont="1" applyFill="1" applyBorder="1" applyAlignment="1">
      <alignment horizontal="center" vertical="center"/>
    </xf>
    <xf numFmtId="0" fontId="23" fillId="12" borderId="15" xfId="0" applyFont="1" applyFill="1" applyBorder="1" applyAlignment="1">
      <alignment horizontal="center" vertical="center"/>
    </xf>
    <xf numFmtId="0" fontId="12" fillId="8" borderId="2" xfId="0" applyFont="1" applyFill="1" applyBorder="1" applyAlignment="1" applyProtection="1">
      <alignment horizontal="right" vertical="center"/>
    </xf>
    <xf numFmtId="0" fontId="12" fillId="8" borderId="9" xfId="0" applyFont="1" applyFill="1" applyBorder="1" applyAlignment="1" applyProtection="1">
      <alignment horizontal="right" vertical="center"/>
    </xf>
    <xf numFmtId="0" fontId="12" fillId="8" borderId="3" xfId="0" applyFont="1" applyFill="1" applyBorder="1" applyAlignment="1" applyProtection="1">
      <alignment horizontal="right" vertical="center"/>
    </xf>
    <xf numFmtId="0" fontId="14" fillId="6" borderId="2" xfId="0" applyFont="1" applyFill="1" applyBorder="1" applyAlignment="1" applyProtection="1">
      <alignment horizontal="center" vertical="center"/>
    </xf>
    <xf numFmtId="0" fontId="14" fillId="6" borderId="9" xfId="0" applyFont="1" applyFill="1" applyBorder="1" applyAlignment="1" applyProtection="1">
      <alignment horizontal="center" vertical="center"/>
    </xf>
    <xf numFmtId="0" fontId="14" fillId="6" borderId="3" xfId="0" applyFont="1" applyFill="1" applyBorder="1" applyAlignment="1" applyProtection="1">
      <alignment horizontal="center" vertical="center"/>
    </xf>
    <xf numFmtId="0" fontId="24" fillId="15" borderId="2" xfId="0" applyFont="1" applyFill="1" applyBorder="1" applyAlignment="1">
      <alignment horizontal="center" vertical="center"/>
    </xf>
    <xf numFmtId="0" fontId="24" fillId="15" borderId="3" xfId="0" applyFont="1" applyFill="1" applyBorder="1" applyAlignment="1">
      <alignment horizontal="center" vertical="center"/>
    </xf>
    <xf numFmtId="0" fontId="24" fillId="16" borderId="2" xfId="0" applyFont="1" applyFill="1" applyBorder="1" applyAlignment="1">
      <alignment horizontal="center" vertical="center"/>
    </xf>
    <xf numFmtId="0" fontId="24" fillId="16" borderId="3" xfId="0" applyFont="1" applyFill="1" applyBorder="1" applyAlignment="1">
      <alignment horizontal="center" vertical="center"/>
    </xf>
    <xf numFmtId="0" fontId="24" fillId="14" borderId="2" xfId="0" applyFont="1" applyFill="1" applyBorder="1" applyAlignment="1">
      <alignment horizontal="center" vertical="center"/>
    </xf>
    <xf numFmtId="0" fontId="24" fillId="14" borderId="3" xfId="0" applyFont="1" applyFill="1" applyBorder="1" applyAlignment="1">
      <alignment horizontal="center" vertical="center"/>
    </xf>
    <xf numFmtId="0" fontId="20" fillId="0" borderId="1" xfId="0" applyFont="1" applyBorder="1" applyAlignment="1">
      <alignment horizontal="center" vertical="center"/>
    </xf>
    <xf numFmtId="0" fontId="23" fillId="12" borderId="11" xfId="0" applyFont="1" applyFill="1" applyBorder="1" applyAlignment="1">
      <alignment horizontal="center"/>
    </xf>
    <xf numFmtId="0" fontId="23" fillId="12" borderId="4" xfId="0" applyFont="1" applyFill="1" applyBorder="1" applyAlignment="1">
      <alignment horizontal="center"/>
    </xf>
    <xf numFmtId="0" fontId="23" fillId="12" borderId="10" xfId="0" applyFont="1" applyFill="1" applyBorder="1" applyAlignment="1">
      <alignment horizontal="center"/>
    </xf>
    <xf numFmtId="0" fontId="21" fillId="0" borderId="1" xfId="0" applyFont="1" applyBorder="1" applyAlignment="1">
      <alignment horizontal="center" vertical="center"/>
    </xf>
    <xf numFmtId="0" fontId="31" fillId="0" borderId="28" xfId="0" applyFont="1" applyBorder="1" applyAlignment="1">
      <alignment horizontal="center"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7" fillId="3" borderId="2"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165" fontId="7" fillId="6" borderId="2" xfId="0" applyNumberFormat="1" applyFont="1" applyFill="1" applyBorder="1" applyAlignment="1" applyProtection="1">
      <alignment horizontal="center" vertical="center"/>
    </xf>
    <xf numFmtId="165" fontId="7" fillId="6" borderId="9" xfId="0" applyNumberFormat="1" applyFont="1" applyFill="1" applyBorder="1" applyAlignment="1" applyProtection="1">
      <alignment horizontal="center" vertical="center"/>
    </xf>
    <xf numFmtId="165" fontId="7" fillId="6" borderId="3" xfId="0" applyNumberFormat="1" applyFont="1" applyFill="1" applyBorder="1" applyAlignment="1" applyProtection="1">
      <alignment horizontal="center" vertical="center"/>
    </xf>
    <xf numFmtId="0" fontId="26" fillId="0" borderId="7" xfId="0" applyFont="1" applyFill="1" applyBorder="1" applyAlignment="1">
      <alignment horizontal="right" vertical="center"/>
    </xf>
    <xf numFmtId="0" fontId="7" fillId="0" borderId="2" xfId="0" quotePrefix="1"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21" fillId="0" borderId="0" xfId="0" applyFont="1" applyBorder="1" applyAlignment="1">
      <alignment horizontal="left" vertical="center"/>
    </xf>
    <xf numFmtId="0" fontId="12" fillId="0" borderId="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7" fillId="0" borderId="2" xfId="0" applyFont="1" applyFill="1" applyBorder="1" applyAlignment="1" applyProtection="1">
      <alignment horizontal="center" vertical="center"/>
    </xf>
    <xf numFmtId="0" fontId="6" fillId="0" borderId="2" xfId="0" quotePrefix="1" applyFont="1" applyFill="1" applyBorder="1" applyAlignment="1" applyProtection="1">
      <alignment horizontal="center" vertical="center"/>
    </xf>
    <xf numFmtId="0" fontId="5" fillId="3" borderId="2" xfId="0" applyFont="1" applyFill="1" applyBorder="1" applyAlignment="1" applyProtection="1">
      <alignment horizontal="center" vertical="center"/>
      <protection locked="0"/>
    </xf>
    <xf numFmtId="164" fontId="7" fillId="3" borderId="2" xfId="1" applyNumberFormat="1" applyFont="1" applyFill="1" applyBorder="1" applyAlignment="1" applyProtection="1">
      <alignment horizontal="center" vertical="center"/>
      <protection locked="0"/>
    </xf>
    <xf numFmtId="164" fontId="7" fillId="3" borderId="9" xfId="1" applyNumberFormat="1" applyFont="1" applyFill="1" applyBorder="1" applyAlignment="1" applyProtection="1">
      <alignment horizontal="center" vertical="center"/>
      <protection locked="0"/>
    </xf>
    <xf numFmtId="164" fontId="7" fillId="3" borderId="3" xfId="1" applyNumberFormat="1"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xf>
    <xf numFmtId="0" fontId="19" fillId="5" borderId="2" xfId="0" applyFont="1" applyFill="1" applyBorder="1" applyAlignment="1" applyProtection="1">
      <alignment horizontal="center" vertical="center"/>
    </xf>
    <xf numFmtId="0" fontId="19" fillId="5" borderId="9" xfId="0" applyFont="1" applyFill="1" applyBorder="1" applyAlignment="1" applyProtection="1">
      <alignment horizontal="center" vertical="center"/>
    </xf>
    <xf numFmtId="0" fontId="19" fillId="5" borderId="3" xfId="0" applyFont="1" applyFill="1" applyBorder="1" applyAlignment="1" applyProtection="1">
      <alignment horizontal="center" vertical="center"/>
    </xf>
    <xf numFmtId="0" fontId="16" fillId="0" borderId="7" xfId="0" applyFont="1" applyBorder="1" applyAlignment="1">
      <alignment horizontal="center"/>
    </xf>
    <xf numFmtId="0" fontId="26" fillId="0" borderId="0" xfId="0" applyFont="1" applyFill="1" applyBorder="1" applyAlignment="1">
      <alignment horizontal="right" vertical="center" wrapText="1"/>
    </xf>
    <xf numFmtId="0" fontId="26" fillId="0" borderId="12" xfId="0" applyFont="1" applyFill="1" applyBorder="1" applyAlignment="1">
      <alignment horizontal="right" vertical="center" wrapText="1"/>
    </xf>
    <xf numFmtId="0" fontId="7" fillId="0" borderId="1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14" fillId="2" borderId="2" xfId="0" applyFont="1" applyFill="1" applyBorder="1" applyAlignment="1">
      <alignment horizontal="center"/>
    </xf>
    <xf numFmtId="0" fontId="14" fillId="2" borderId="9" xfId="0" applyFont="1" applyFill="1" applyBorder="1" applyAlignment="1">
      <alignment horizontal="center"/>
    </xf>
    <xf numFmtId="0" fontId="14" fillId="2" borderId="3" xfId="0" applyFont="1" applyFill="1" applyBorder="1" applyAlignment="1">
      <alignment horizontal="center"/>
    </xf>
    <xf numFmtId="0" fontId="21" fillId="0" borderId="1" xfId="0" applyFont="1" applyBorder="1" applyAlignment="1">
      <alignment horizontal="center" vertical="center" wrapText="1"/>
    </xf>
    <xf numFmtId="0" fontId="21" fillId="7" borderId="1" xfId="0" applyFont="1" applyFill="1" applyBorder="1" applyAlignment="1">
      <alignment horizontal="center" vertical="center"/>
    </xf>
    <xf numFmtId="0" fontId="24" fillId="12" borderId="2" xfId="0" applyFont="1" applyFill="1" applyBorder="1" applyAlignment="1">
      <alignment horizontal="center" vertical="center"/>
    </xf>
    <xf numFmtId="0" fontId="24" fillId="12" borderId="9" xfId="0" applyFont="1" applyFill="1" applyBorder="1" applyAlignment="1">
      <alignment horizontal="center" vertical="center"/>
    </xf>
    <xf numFmtId="0" fontId="24" fillId="12" borderId="3" xfId="0" applyFont="1" applyFill="1" applyBorder="1" applyAlignment="1">
      <alignment horizontal="center" vertical="center"/>
    </xf>
    <xf numFmtId="0" fontId="23" fillId="12" borderId="1" xfId="0" applyFont="1" applyFill="1" applyBorder="1" applyAlignment="1">
      <alignment horizontal="center" vertical="center"/>
    </xf>
    <xf numFmtId="0" fontId="7" fillId="6" borderId="2" xfId="0" applyFont="1" applyFill="1" applyBorder="1" applyAlignment="1" applyProtection="1">
      <alignment horizontal="center" vertical="center"/>
    </xf>
    <xf numFmtId="0" fontId="7" fillId="6" borderId="9" xfId="0" applyFont="1" applyFill="1" applyBorder="1" applyAlignment="1" applyProtection="1">
      <alignment horizontal="center" vertical="center"/>
    </xf>
    <xf numFmtId="0" fontId="7" fillId="6"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22" fillId="12" borderId="1" xfId="0" applyFont="1" applyFill="1" applyBorder="1" applyAlignment="1">
      <alignment horizontal="center" vertical="center"/>
    </xf>
    <xf numFmtId="0" fontId="22" fillId="12" borderId="14" xfId="0"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2" fillId="12" borderId="15" xfId="0" applyFont="1" applyFill="1" applyBorder="1" applyAlignment="1">
      <alignment horizontal="center" vertical="center" wrapText="1"/>
    </xf>
    <xf numFmtId="0" fontId="23" fillId="12" borderId="11" xfId="0" applyFont="1" applyFill="1" applyBorder="1" applyAlignment="1">
      <alignment horizontal="center" vertical="center"/>
    </xf>
    <xf numFmtId="0" fontId="23" fillId="12" borderId="5" xfId="0" applyFont="1" applyFill="1" applyBorder="1" applyAlignment="1">
      <alignment horizontal="center" vertical="center"/>
    </xf>
    <xf numFmtId="0" fontId="22" fillId="12" borderId="2" xfId="0" applyFont="1" applyFill="1" applyBorder="1" applyAlignment="1" applyProtection="1">
      <alignment horizontal="right" vertical="center"/>
    </xf>
    <xf numFmtId="0" fontId="22" fillId="12" borderId="9" xfId="0" applyFont="1" applyFill="1" applyBorder="1" applyAlignment="1" applyProtection="1">
      <alignment horizontal="right" vertical="center"/>
    </xf>
    <xf numFmtId="0" fontId="22" fillId="12" borderId="3" xfId="0" applyFont="1" applyFill="1" applyBorder="1" applyAlignment="1" applyProtection="1">
      <alignment horizontal="right" vertical="center"/>
    </xf>
    <xf numFmtId="0" fontId="23" fillId="12" borderId="2" xfId="0" applyFont="1" applyFill="1" applyBorder="1" applyAlignment="1" applyProtection="1">
      <alignment horizontal="center" vertical="center"/>
    </xf>
    <xf numFmtId="0" fontId="23" fillId="12" borderId="9" xfId="0" applyFont="1" applyFill="1" applyBorder="1" applyAlignment="1" applyProtection="1">
      <alignment horizontal="center" vertical="center"/>
    </xf>
    <xf numFmtId="0" fontId="23" fillId="12" borderId="3" xfId="0" applyFont="1" applyFill="1" applyBorder="1" applyAlignment="1" applyProtection="1">
      <alignment horizontal="center" vertical="center"/>
    </xf>
    <xf numFmtId="0" fontId="24" fillId="12" borderId="6" xfId="0" applyFont="1" applyFill="1" applyBorder="1" applyAlignment="1">
      <alignment horizontal="center" vertical="center"/>
    </xf>
    <xf numFmtId="0" fontId="24" fillId="12" borderId="7" xfId="0" applyFont="1" applyFill="1" applyBorder="1" applyAlignment="1">
      <alignment horizontal="center" vertical="center"/>
    </xf>
    <xf numFmtId="0" fontId="24" fillId="12" borderId="8" xfId="0" applyFont="1" applyFill="1" applyBorder="1" applyAlignment="1">
      <alignment horizontal="center" vertical="center"/>
    </xf>
    <xf numFmtId="14" fontId="7" fillId="3" borderId="2" xfId="0" applyNumberFormat="1" applyFont="1" applyFill="1" applyBorder="1" applyAlignment="1" applyProtection="1">
      <alignment horizontal="center" vertical="center"/>
      <protection locked="0"/>
    </xf>
    <xf numFmtId="14" fontId="7" fillId="3" borderId="9" xfId="0" applyNumberFormat="1" applyFont="1" applyFill="1" applyBorder="1" applyAlignment="1" applyProtection="1">
      <alignment horizontal="center" vertical="center"/>
      <protection locked="0"/>
    </xf>
    <xf numFmtId="14" fontId="7" fillId="3" borderId="3"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1" fillId="3" borderId="2" xfId="0" applyFont="1" applyFill="1" applyBorder="1" applyAlignment="1" applyProtection="1">
      <alignment horizontal="center" vertical="center"/>
      <protection locked="0"/>
    </xf>
    <xf numFmtId="0" fontId="22" fillId="12" borderId="14" xfId="0" applyFont="1" applyFill="1" applyBorder="1" applyAlignment="1">
      <alignment horizontal="center" vertical="center"/>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12" fillId="0" borderId="0" xfId="0" applyFont="1" applyFill="1" applyBorder="1" applyAlignment="1" applyProtection="1">
      <alignment horizontal="right" vertical="center" wrapText="1"/>
    </xf>
    <xf numFmtId="0" fontId="12" fillId="0" borderId="12" xfId="0" applyFont="1" applyFill="1" applyBorder="1" applyAlignment="1" applyProtection="1">
      <alignment horizontal="right" vertical="center" wrapText="1"/>
    </xf>
    <xf numFmtId="0" fontId="7" fillId="6" borderId="16" xfId="0" applyFont="1" applyFill="1" applyBorder="1" applyAlignment="1" applyProtection="1">
      <alignment horizontal="center" vertical="center"/>
    </xf>
    <xf numFmtId="0" fontId="7" fillId="6" borderId="17" xfId="0" applyFont="1" applyFill="1" applyBorder="1" applyAlignment="1" applyProtection="1">
      <alignment horizontal="center" vertical="center"/>
    </xf>
    <xf numFmtId="0" fontId="7" fillId="6" borderId="18" xfId="0" applyFont="1" applyFill="1" applyBorder="1" applyAlignment="1" applyProtection="1">
      <alignment horizontal="center" vertical="center"/>
    </xf>
    <xf numFmtId="10" fontId="7" fillId="6" borderId="2" xfId="1" applyNumberFormat="1" applyFont="1" applyFill="1" applyBorder="1" applyAlignment="1" applyProtection="1">
      <alignment horizontal="center" vertical="center"/>
    </xf>
    <xf numFmtId="10" fontId="7" fillId="6" borderId="9" xfId="1" applyNumberFormat="1" applyFont="1" applyFill="1" applyBorder="1" applyAlignment="1" applyProtection="1">
      <alignment horizontal="center" vertical="center"/>
    </xf>
    <xf numFmtId="10" fontId="7" fillId="6" borderId="3" xfId="1" applyNumberFormat="1" applyFont="1" applyFill="1" applyBorder="1" applyAlignment="1" applyProtection="1">
      <alignment horizontal="center" vertical="center"/>
    </xf>
    <xf numFmtId="0" fontId="6" fillId="3" borderId="2" xfId="0" applyFont="1" applyFill="1" applyBorder="1" applyAlignment="1" applyProtection="1">
      <alignment horizontal="center" vertical="center"/>
      <protection locked="0"/>
    </xf>
    <xf numFmtId="0" fontId="3" fillId="3" borderId="19" xfId="0" applyFont="1" applyFill="1" applyBorder="1" applyAlignment="1" applyProtection="1">
      <alignment horizontal="left" vertical="top" wrapText="1"/>
      <protection locked="0"/>
    </xf>
    <xf numFmtId="0" fontId="7" fillId="3" borderId="20" xfId="0" applyFont="1" applyFill="1" applyBorder="1" applyAlignment="1" applyProtection="1">
      <alignment horizontal="left" vertical="top" wrapText="1"/>
      <protection locked="0"/>
    </xf>
    <xf numFmtId="0" fontId="7" fillId="3" borderId="21" xfId="0" applyFont="1" applyFill="1" applyBorder="1" applyAlignment="1" applyProtection="1">
      <alignment horizontal="left" vertical="top" wrapText="1"/>
      <protection locked="0"/>
    </xf>
    <xf numFmtId="0" fontId="7" fillId="3" borderId="22"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23" xfId="0" applyFont="1" applyFill="1" applyBorder="1" applyAlignment="1" applyProtection="1">
      <alignment horizontal="left" vertical="top" wrapText="1"/>
      <protection locked="0"/>
    </xf>
    <xf numFmtId="0" fontId="7" fillId="3" borderId="24" xfId="0" applyFont="1" applyFill="1" applyBorder="1" applyAlignment="1" applyProtection="1">
      <alignment horizontal="left" vertical="top" wrapText="1"/>
      <protection locked="0"/>
    </xf>
    <xf numFmtId="0" fontId="7" fillId="3" borderId="25" xfId="0" applyFont="1" applyFill="1" applyBorder="1" applyAlignment="1" applyProtection="1">
      <alignment horizontal="left" vertical="top" wrapText="1"/>
      <protection locked="0"/>
    </xf>
    <xf numFmtId="0" fontId="7" fillId="3" borderId="26" xfId="0" applyFont="1" applyFill="1" applyBorder="1" applyAlignment="1" applyProtection="1">
      <alignment horizontal="left" vertical="top" wrapText="1"/>
      <protection locked="0"/>
    </xf>
    <xf numFmtId="0" fontId="23" fillId="12" borderId="11" xfId="0" applyFont="1" applyFill="1" applyBorder="1" applyAlignment="1">
      <alignment horizontal="right" vertical="center"/>
    </xf>
    <xf numFmtId="0" fontId="23" fillId="12" borderId="4" xfId="0" applyFont="1" applyFill="1" applyBorder="1" applyAlignment="1">
      <alignment horizontal="right" vertical="center"/>
    </xf>
    <xf numFmtId="0" fontId="29" fillId="12" borderId="7" xfId="0" applyNumberFormat="1" applyFont="1" applyFill="1" applyBorder="1" applyAlignment="1" applyProtection="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shrinkToFit="1"/>
    </xf>
    <xf numFmtId="0" fontId="0" fillId="0" borderId="0" xfId="0" applyAlignment="1">
      <alignment horizontal="center"/>
    </xf>
    <xf numFmtId="0" fontId="10" fillId="0" borderId="0" xfId="0" applyFont="1" applyBorder="1" applyAlignment="1">
      <alignment horizontal="center"/>
    </xf>
    <xf numFmtId="0" fontId="0" fillId="0" borderId="12" xfId="0" applyBorder="1" applyAlignment="1">
      <alignment horizontal="center"/>
    </xf>
    <xf numFmtId="0" fontId="0" fillId="13" borderId="5" xfId="0" applyFill="1" applyBorder="1" applyAlignment="1">
      <alignment horizontal="center"/>
    </xf>
    <xf numFmtId="0" fontId="0" fillId="13" borderId="0" xfId="0" applyFill="1" applyBorder="1" applyAlignment="1">
      <alignment horizontal="center"/>
    </xf>
    <xf numFmtId="0" fontId="28" fillId="0" borderId="11" xfId="0" applyFont="1" applyBorder="1" applyAlignment="1">
      <alignment horizontal="center"/>
    </xf>
    <xf numFmtId="0" fontId="28" fillId="0" borderId="4" xfId="0" applyFont="1" applyBorder="1" applyAlignment="1">
      <alignment horizontal="center"/>
    </xf>
    <xf numFmtId="0" fontId="28" fillId="0" borderId="10" xfId="0" applyFont="1" applyBorder="1" applyAlignment="1">
      <alignment horizontal="center"/>
    </xf>
    <xf numFmtId="0" fontId="28" fillId="0" borderId="5" xfId="0" applyFont="1" applyBorder="1" applyAlignment="1">
      <alignment horizontal="center"/>
    </xf>
    <xf numFmtId="0" fontId="28" fillId="0" borderId="0" xfId="0" applyFont="1" applyBorder="1" applyAlignment="1">
      <alignment horizontal="center"/>
    </xf>
    <xf numFmtId="0" fontId="28" fillId="0" borderId="12" xfId="0" applyFont="1" applyBorder="1" applyAlignment="1">
      <alignment horizontal="center"/>
    </xf>
    <xf numFmtId="0" fontId="28" fillId="0" borderId="5" xfId="0" applyFont="1" applyBorder="1" applyAlignment="1">
      <alignment horizontal="center" vertical="center"/>
    </xf>
    <xf numFmtId="0" fontId="28" fillId="0" borderId="0" xfId="0" applyFont="1" applyBorder="1" applyAlignment="1">
      <alignment horizontal="center" vertical="center"/>
    </xf>
  </cellXfs>
  <cellStyles count="3">
    <cellStyle name="Normal" xfId="0" builtinId="0"/>
    <cellStyle name="Normal 2" xfId="2"/>
    <cellStyle name="Percent" xfId="1" builtinId="5"/>
  </cellStyles>
  <dxfs count="12">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border>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theme="1"/>
        </left>
        <right style="thin">
          <color theme="1"/>
        </right>
        <top style="thin">
          <color theme="1"/>
        </top>
        <bottom style="thin">
          <color theme="1"/>
        </bottom>
        <vertical/>
        <horizontal/>
      </border>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theme="5" tint="0.59996337778862885"/>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6.xml"/><Relationship Id="rId13" Type="http://schemas.openxmlformats.org/officeDocument/2006/relationships/chartsheet" Target="chartsheets/sheet9.xml"/><Relationship Id="rId18" Type="http://schemas.openxmlformats.org/officeDocument/2006/relationships/worksheet" Target="worksheets/sheet6.xml"/><Relationship Id="rId3" Type="http://schemas.openxmlformats.org/officeDocument/2006/relationships/chartsheet" Target="chartsheets/sheet1.xml"/><Relationship Id="rId21" Type="http://schemas.openxmlformats.org/officeDocument/2006/relationships/styles" Target="styles.xml"/><Relationship Id="rId7" Type="http://schemas.openxmlformats.org/officeDocument/2006/relationships/chartsheet" Target="chartsheets/sheet5.xml"/><Relationship Id="rId12" Type="http://schemas.openxmlformats.org/officeDocument/2006/relationships/worksheet" Target="worksheets/sheet4.xml"/><Relationship Id="rId17" Type="http://schemas.openxmlformats.org/officeDocument/2006/relationships/worksheet" Target="worksheets/sheet5.xml"/><Relationship Id="rId2" Type="http://schemas.openxmlformats.org/officeDocument/2006/relationships/worksheet" Target="worksheets/sheet2.xml"/><Relationship Id="rId16" Type="http://schemas.openxmlformats.org/officeDocument/2006/relationships/chartsheet" Target="chartsheets/sheet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worksheet" Target="worksheets/sheet3.xml"/><Relationship Id="rId5" Type="http://schemas.openxmlformats.org/officeDocument/2006/relationships/chartsheet" Target="chartsheets/sheet3.xml"/><Relationship Id="rId15" Type="http://schemas.openxmlformats.org/officeDocument/2006/relationships/chartsheet" Target="chartsheets/sheet11.xml"/><Relationship Id="rId23" Type="http://schemas.openxmlformats.org/officeDocument/2006/relationships/calcChain" Target="calcChain.xml"/><Relationship Id="rId10" Type="http://schemas.openxmlformats.org/officeDocument/2006/relationships/chartsheet" Target="chartsheets/sheet8.xml"/><Relationship Id="rId19" Type="http://schemas.openxmlformats.org/officeDocument/2006/relationships/externalLink" Target="externalLinks/externalLink1.xml"/><Relationship Id="rId4" Type="http://schemas.openxmlformats.org/officeDocument/2006/relationships/chartsheet" Target="chartsheets/sheet2.xml"/><Relationship Id="rId9" Type="http://schemas.openxmlformats.org/officeDocument/2006/relationships/chartsheet" Target="chartsheets/sheet7.xml"/><Relationship Id="rId14" Type="http://schemas.openxmlformats.org/officeDocument/2006/relationships/chartsheet" Target="chartsheets/sheet10.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Figure 1. Warrant for left turn lanes on two-lane roadways</a:t>
            </a:r>
          </a:p>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 (speeds to 35 mph, unsignalized and signalized intersections)</a:t>
            </a:r>
            <a:endParaRPr lang="en-US" sz="12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en-US" sz="900" b="0" i="0" u="none" strike="noStrike" baseline="0">
                <a:solidFill>
                  <a:srgbClr val="000000"/>
                </a:solidFill>
                <a:latin typeface="Arial"/>
                <a:cs typeface="Arial"/>
              </a:rPr>
              <a:t>(L = % Left Turns in Advancing Volume)</a:t>
            </a:r>
          </a:p>
        </c:rich>
      </c:tx>
      <c:overlay val="1"/>
      <c:spPr>
        <a:noFill/>
        <a:ln w="25400">
          <a:noFill/>
        </a:ln>
      </c:spPr>
    </c:title>
    <c:autoTitleDeleted val="0"/>
    <c:plotArea>
      <c:layout>
        <c:manualLayout>
          <c:layoutTarget val="inner"/>
          <c:xMode val="edge"/>
          <c:yMode val="edge"/>
          <c:x val="7.6923076923076927E-2"/>
          <c:y val="0.13747954173486091"/>
          <c:w val="0.68673355629877852"/>
          <c:h val="0.75613747954173482"/>
        </c:manualLayout>
      </c:layout>
      <c:scatterChart>
        <c:scatterStyle val="smoothMarker"/>
        <c:varyColors val="0"/>
        <c:ser>
          <c:idx val="9"/>
          <c:order val="0"/>
          <c:tx>
            <c:v>L = 1%</c:v>
          </c:tx>
          <c:spPr>
            <a:ln w="25400">
              <a:solidFill>
                <a:sysClr val="windowText" lastClr="000000"/>
              </a:solidFill>
            </a:ln>
          </c:spPr>
          <c:marker>
            <c:symbol val="none"/>
          </c:marker>
          <c:xVal>
            <c:numRef>
              <c:f>'Left-Warrant 2-lane'!$AK$98:$AK$126</c:f>
              <c:numCache>
                <c:formatCode>0</c:formatCode>
                <c:ptCount val="29"/>
                <c:pt idx="0">
                  <c:v>1661.406049910757</c:v>
                </c:pt>
                <c:pt idx="1">
                  <c:v>1613.2087459487614</c:v>
                </c:pt>
                <c:pt idx="2">
                  <c:v>1566.9592769990732</c:v>
                </c:pt>
                <c:pt idx="3">
                  <c:v>1522.5359563343193</c:v>
                </c:pt>
                <c:pt idx="4">
                  <c:v>1479.8279383304111</c:v>
                </c:pt>
                <c:pt idx="5">
                  <c:v>1438.7339845780825</c:v>
                </c:pt>
                <c:pt idx="6">
                  <c:v>1399.1613984417106</c:v>
                </c:pt>
                <c:pt idx="7">
                  <c:v>1361.0251014666223</c:v>
                </c:pt>
                <c:pt idx="8">
                  <c:v>1324.2468297758664</c:v>
                </c:pt>
                <c:pt idx="9">
                  <c:v>1288.7544324010955</c:v>
                </c:pt>
                <c:pt idx="10">
                  <c:v>1254.4812565619152</c:v>
                </c:pt>
                <c:pt idx="11">
                  <c:v>1221.3656073987088</c:v>
                </c:pt>
                <c:pt idx="12">
                  <c:v>1189.3502716950834</c:v>
                </c:pt>
                <c:pt idx="13">
                  <c:v>1158.3820967904578</c:v>
                </c:pt>
                <c:pt idx="14">
                  <c:v>1128.4116172535382</c:v>
                </c:pt>
                <c:pt idx="15">
                  <c:v>1099.3927230204315</c:v>
                </c:pt>
                <c:pt idx="16">
                  <c:v>1071.2823636419366</c:v>
                </c:pt>
                <c:pt idx="17">
                  <c:v>1044.0402840689555</c:v>
                </c:pt>
                <c:pt idx="18">
                  <c:v>1017.6287880614428</c:v>
                </c:pt>
                <c:pt idx="19">
                  <c:v>992.01252585778684</c:v>
                </c:pt>
                <c:pt idx="20">
                  <c:v>967.15830320644602</c:v>
                </c:pt>
                <c:pt idx="21">
                  <c:v>943.03490925495657</c:v>
                </c:pt>
                <c:pt idx="22">
                  <c:v>919.61296112518562</c:v>
                </c:pt>
                <c:pt idx="23">
                  <c:v>896.86476328788774</c:v>
                </c:pt>
                <c:pt idx="24">
                  <c:v>874.76418009230053</c:v>
                </c:pt>
                <c:pt idx="25">
                  <c:v>853.2865200143209</c:v>
                </c:pt>
                <c:pt idx="26">
                  <c:v>832.40843036534125</c:v>
                </c:pt>
                <c:pt idx="27">
                  <c:v>812.10780135752134</c:v>
                </c:pt>
                <c:pt idx="28">
                  <c:v>792.36367855403023</c:v>
                </c:pt>
              </c:numCache>
            </c:numRef>
          </c:xVal>
          <c:yVal>
            <c:numRef>
              <c:f>'Left-Warrant 2-lane'!$AL$98:$AL$126</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0-6E3B-429C-9C3C-E67BB971F980}"/>
            </c:ext>
          </c:extLst>
        </c:ser>
        <c:ser>
          <c:idx val="8"/>
          <c:order val="1"/>
          <c:tx>
            <c:v>L = 2%</c:v>
          </c:tx>
          <c:spPr>
            <a:ln w="25400">
              <a:solidFill>
                <a:sysClr val="windowText" lastClr="000000"/>
              </a:solidFill>
            </a:ln>
          </c:spPr>
          <c:marker>
            <c:symbol val="none"/>
          </c:marker>
          <c:xVal>
            <c:numRef>
              <c:f>'Left-Warrant 2-lane'!$AG$98:$AG$126</c:f>
              <c:numCache>
                <c:formatCode>0</c:formatCode>
                <c:ptCount val="29"/>
                <c:pt idx="0">
                  <c:v>1180.7701054243837</c:v>
                </c:pt>
                <c:pt idx="1">
                  <c:v>1146.5160254639591</c:v>
                </c:pt>
                <c:pt idx="2">
                  <c:v>1113.646282194107</c:v>
                </c:pt>
                <c:pt idx="3">
                  <c:v>1082.0743922112579</c:v>
                </c:pt>
                <c:pt idx="4">
                  <c:v>1051.721576941535</c:v>
                </c:pt>
                <c:pt idx="5">
                  <c:v>1022.5158857096726</c:v>
                </c:pt>
                <c:pt idx="6">
                  <c:v>994.39143852430846</c:v>
                </c:pt>
                <c:pt idx="7">
                  <c:v>967.28776967575129</c:v>
                </c:pt>
                <c:pt idx="8">
                  <c:v>941.14925661089694</c:v>
                </c:pt>
                <c:pt idx="9">
                  <c:v>915.92462125325926</c:v>
                </c:pt>
                <c:pt idx="10">
                  <c:v>891.56649311773731</c:v>
                </c:pt>
                <c:pt idx="11">
                  <c:v>868.03102533986544</c:v>
                </c:pt>
                <c:pt idx="12">
                  <c:v>845.27755618282379</c:v>
                </c:pt>
                <c:pt idx="13">
                  <c:v>823.26830976837857</c:v>
                </c:pt>
                <c:pt idx="14">
                  <c:v>801.96813075173873</c:v>
                </c:pt>
                <c:pt idx="15">
                  <c:v>781.34424846554793</c:v>
                </c:pt>
                <c:pt idx="16">
                  <c:v>761.36606672686617</c:v>
                </c:pt>
                <c:pt idx="17">
                  <c:v>742.00497605845544</c:v>
                </c:pt>
                <c:pt idx="18">
                  <c:v>723.23418554226487</c:v>
                </c:pt>
                <c:pt idx="19">
                  <c:v>705.02857191493126</c:v>
                </c:pt>
                <c:pt idx="20">
                  <c:v>687.36454384554929</c:v>
                </c:pt>
                <c:pt idx="21">
                  <c:v>670.21991961547371</c:v>
                </c:pt>
                <c:pt idx="22">
                  <c:v>653.57381665712728</c:v>
                </c:pt>
                <c:pt idx="23">
                  <c:v>637.40655161075051</c:v>
                </c:pt>
                <c:pt idx="24">
                  <c:v>621.69954973050858</c:v>
                </c:pt>
                <c:pt idx="25">
                  <c:v>606.43526261905413</c:v>
                </c:pt>
                <c:pt idx="26">
                  <c:v>591.59709339653944</c:v>
                </c:pt>
                <c:pt idx="27">
                  <c:v>577.16932851929437</c:v>
                </c:pt>
                <c:pt idx="28">
                  <c:v>563.13707555774874</c:v>
                </c:pt>
              </c:numCache>
            </c:numRef>
          </c:xVal>
          <c:yVal>
            <c:numRef>
              <c:f>'Left-Warrant 2-lane'!$AH$98:$AH$126</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1-6E3B-429C-9C3C-E67BB971F980}"/>
            </c:ext>
          </c:extLst>
        </c:ser>
        <c:ser>
          <c:idx val="7"/>
          <c:order val="2"/>
          <c:tx>
            <c:v>L = 3%</c:v>
          </c:tx>
          <c:spPr>
            <a:ln w="25400">
              <a:solidFill>
                <a:srgbClr val="000000"/>
              </a:solidFill>
              <a:prstDash val="solid"/>
            </a:ln>
          </c:spPr>
          <c:marker>
            <c:symbol val="none"/>
          </c:marker>
          <c:xVal>
            <c:numRef>
              <c:f>'Left-Warrant 2-lane'!$AC$98:$AC$126</c:f>
              <c:numCache>
                <c:formatCode>0</c:formatCode>
                <c:ptCount val="29"/>
                <c:pt idx="0">
                  <c:v>969.0515719811807</c:v>
                </c:pt>
                <c:pt idx="1">
                  <c:v>940.93943577454093</c:v>
                </c:pt>
                <c:pt idx="2">
                  <c:v>913.96341712371338</c:v>
                </c:pt>
                <c:pt idx="3">
                  <c:v>888.05253957206605</c:v>
                </c:pt>
                <c:pt idx="4">
                  <c:v>863.14214997458578</c:v>
                </c:pt>
                <c:pt idx="5">
                  <c:v>839.17319880533057</c:v>
                </c:pt>
                <c:pt idx="6">
                  <c:v>816.09161871545916</c:v>
                </c:pt>
                <c:pt idx="7">
                  <c:v>793.84778582750528</c:v>
                </c:pt>
                <c:pt idx="8">
                  <c:v>772.39605101614336</c:v>
                </c:pt>
                <c:pt idx="9">
                  <c:v>751.69433064426335</c:v>
                </c:pt>
                <c:pt idx="10">
                  <c:v>731.7037480136479</c:v>
                </c:pt>
                <c:pt idx="11">
                  <c:v>712.3883182422768</c:v>
                </c:pt>
                <c:pt idx="12">
                  <c:v>693.71467046498003</c:v>
                </c:pt>
                <c:pt idx="13">
                  <c:v>675.65180222495667</c:v>
                </c:pt>
                <c:pt idx="14">
                  <c:v>658.17086172287918</c:v>
                </c:pt>
                <c:pt idx="15">
                  <c:v>641.24495425115765</c:v>
                </c:pt>
                <c:pt idx="16">
                  <c:v>624.84896968967757</c:v>
                </c:pt>
                <c:pt idx="17">
                  <c:v>608.95942839683607</c:v>
                </c:pt>
                <c:pt idx="18">
                  <c:v>593.55434321261532</c:v>
                </c:pt>
                <c:pt idx="19">
                  <c:v>578.61309561208543</c:v>
                </c:pt>
                <c:pt idx="20">
                  <c:v>564.11632431891132</c:v>
                </c:pt>
                <c:pt idx="21">
                  <c:v>550.04582491783594</c:v>
                </c:pt>
                <c:pt idx="22">
                  <c:v>536.38445919978324</c:v>
                </c:pt>
                <c:pt idx="23">
                  <c:v>523.11607313897866</c:v>
                </c:pt>
                <c:pt idx="24">
                  <c:v>510.22542254303613</c:v>
                </c:pt>
                <c:pt idx="25">
                  <c:v>497.69810553816444</c:v>
                </c:pt>
                <c:pt idx="26">
                  <c:v>485.52050115578339</c:v>
                </c:pt>
                <c:pt idx="27">
                  <c:v>473.67971337648561</c:v>
                </c:pt>
                <c:pt idx="28">
                  <c:v>462.16352006471794</c:v>
                </c:pt>
              </c:numCache>
            </c:numRef>
          </c:xVal>
          <c:yVal>
            <c:numRef>
              <c:f>'Left-Warrant 2-lane'!$AD$98:$AD$126</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2-6E3B-429C-9C3C-E67BB971F980}"/>
            </c:ext>
          </c:extLst>
        </c:ser>
        <c:ser>
          <c:idx val="6"/>
          <c:order val="3"/>
          <c:tx>
            <c:v>L = 4%</c:v>
          </c:tx>
          <c:spPr>
            <a:ln w="25400">
              <a:solidFill>
                <a:sysClr val="windowText" lastClr="000000"/>
              </a:solidFill>
              <a:prstDash val="solid"/>
            </a:ln>
          </c:spPr>
          <c:marker>
            <c:symbol val="none"/>
          </c:marker>
          <c:xVal>
            <c:numRef>
              <c:f>'Left-Warrant 2-lane'!$Y$98:$Y$126</c:f>
              <c:numCache>
                <c:formatCode>0</c:formatCode>
                <c:ptCount val="29"/>
                <c:pt idx="0">
                  <c:v>843.58290969809502</c:v>
                </c:pt>
                <c:pt idx="1">
                  <c:v>819.11061292389718</c:v>
                </c:pt>
                <c:pt idx="2">
                  <c:v>795.62733405256677</c:v>
                </c:pt>
                <c:pt idx="3">
                  <c:v>773.07128635619677</c:v>
                </c:pt>
                <c:pt idx="4">
                  <c:v>751.38618770309483</c:v>
                </c:pt>
                <c:pt idx="5">
                  <c:v>730.52063404795399</c:v>
                </c:pt>
                <c:pt idx="6">
                  <c:v>710.4275584515384</c:v>
                </c:pt>
                <c:pt idx="7">
                  <c:v>691.0637621242746</c:v>
                </c:pt>
                <c:pt idx="8">
                  <c:v>672.3895063947848</c:v>
                </c:pt>
                <c:pt idx="9">
                  <c:v>654.36815643570753</c:v>
                </c:pt>
                <c:pt idx="10">
                  <c:v>636.96586913781107</c:v>
                </c:pt>
                <c:pt idx="11">
                  <c:v>620.15131878803982</c:v>
                </c:pt>
                <c:pt idx="12">
                  <c:v>603.89545523844197</c:v>
                </c:pt>
                <c:pt idx="13">
                  <c:v>588.17129009802557</c:v>
                </c:pt>
                <c:pt idx="14">
                  <c:v>572.95370717531989</c:v>
                </c:pt>
                <c:pt idx="15">
                  <c:v>558.21929397470558</c:v>
                </c:pt>
                <c:pt idx="16">
                  <c:v>543.94619152726739</c:v>
                </c:pt>
                <c:pt idx="17">
                  <c:v>530.11396023520206</c:v>
                </c:pt>
                <c:pt idx="18">
                  <c:v>516.70345974214433</c:v>
                </c:pt>
                <c:pt idx="19">
                  <c:v>503.69674112178649</c:v>
                </c:pt>
                <c:pt idx="20">
                  <c:v>491.0769499132324</c:v>
                </c:pt>
                <c:pt idx="21">
                  <c:v>478.82823873122845</c:v>
                </c:pt>
                <c:pt idx="22">
                  <c:v>466.93568834887526</c:v>
                </c:pt>
                <c:pt idx="23">
                  <c:v>455.38523629472121</c:v>
                </c:pt>
                <c:pt idx="24">
                  <c:v>444.16361212935863</c:v>
                </c:pt>
                <c:pt idx="25">
                  <c:v>433.25827867215713</c:v>
                </c:pt>
                <c:pt idx="26">
                  <c:v>422.65737853942318</c:v>
                </c:pt>
                <c:pt idx="27">
                  <c:v>412.34968543331098</c:v>
                </c:pt>
                <c:pt idx="28">
                  <c:v>402.32455968822279</c:v>
                </c:pt>
              </c:numCache>
            </c:numRef>
          </c:xVal>
          <c:yVal>
            <c:numRef>
              <c:f>'Left-Warrant 2-lane'!$Z$98:$Z$126</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3-6E3B-429C-9C3C-E67BB971F980}"/>
            </c:ext>
          </c:extLst>
        </c:ser>
        <c:ser>
          <c:idx val="0"/>
          <c:order val="4"/>
          <c:tx>
            <c:v>L = 5%</c:v>
          </c:tx>
          <c:spPr>
            <a:ln w="25400">
              <a:solidFill>
                <a:srgbClr val="000000"/>
              </a:solidFill>
              <a:prstDash val="solid"/>
            </a:ln>
          </c:spPr>
          <c:marker>
            <c:symbol val="none"/>
          </c:marker>
          <c:xVal>
            <c:numRef>
              <c:f>'Left-Warrant 2-lane'!$A$98:$A$126</c:f>
              <c:numCache>
                <c:formatCode>0</c:formatCode>
                <c:ptCount val="29"/>
                <c:pt idx="0">
                  <c:v>758.48427275139568</c:v>
                </c:pt>
                <c:pt idx="1">
                  <c:v>736.48068305328673</c:v>
                </c:pt>
                <c:pt idx="2">
                  <c:v>715.36634148499468</c:v>
                </c:pt>
                <c:pt idx="3">
                  <c:v>695.08569421672587</c:v>
                </c:pt>
                <c:pt idx="4">
                  <c:v>675.58813672433098</c:v>
                </c:pt>
                <c:pt idx="5">
                  <c:v>656.82745048029767</c:v>
                </c:pt>
                <c:pt idx="6">
                  <c:v>638.7613165462418</c:v>
                </c:pt>
                <c:pt idx="7">
                  <c:v>621.35089392370799</c:v>
                </c:pt>
                <c:pt idx="8">
                  <c:v>604.56045268394314</c:v>
                </c:pt>
                <c:pt idx="9">
                  <c:v>588.3570536338118</c:v>
                </c:pt>
                <c:pt idx="10">
                  <c:v>572.71026767642479</c:v>
                </c:pt>
                <c:pt idx="11">
                  <c:v>557.59192916213192</c:v>
                </c:pt>
                <c:pt idx="12">
                  <c:v>542.97591845279305</c:v>
                </c:pt>
                <c:pt idx="13">
                  <c:v>528.83796968209072</c:v>
                </c:pt>
                <c:pt idx="14">
                  <c:v>515.15550032019587</c:v>
                </c:pt>
                <c:pt idx="15">
                  <c:v>501.90745966834555</c:v>
                </c:pt>
                <c:pt idx="16">
                  <c:v>489.07419383840386</c:v>
                </c:pt>
                <c:pt idx="17">
                  <c:v>476.63732513056567</c:v>
                </c:pt>
                <c:pt idx="18">
                  <c:v>464.57964402207881</c:v>
                </c:pt>
                <c:pt idx="19">
                  <c:v>452.8850122316187</c:v>
                </c:pt>
                <c:pt idx="20">
                  <c:v>441.53827553620573</c:v>
                </c:pt>
                <c:pt idx="21">
                  <c:v>430.52518519710787</c:v>
                </c:pt>
                <c:pt idx="22">
                  <c:v>419.83232700354074</c:v>
                </c:pt>
                <c:pt idx="23">
                  <c:v>409.44705707271646</c:v>
                </c:pt>
                <c:pt idx="24">
                  <c:v>399.35744365558276</c:v>
                </c:pt>
                <c:pt idx="25">
                  <c:v>389.55221429246399</c:v>
                </c:pt>
                <c:pt idx="26">
                  <c:v>380.02070774432343</c:v>
                </c:pt>
                <c:pt idx="27">
                  <c:v>370.75283019553319</c:v>
                </c:pt>
                <c:pt idx="28">
                  <c:v>361.73901528464819</c:v>
                </c:pt>
              </c:numCache>
            </c:numRef>
          </c:xVal>
          <c:yVal>
            <c:numRef>
              <c:f>'Left-Warrant 2-lane'!$B$98:$B$126</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4-6E3B-429C-9C3C-E67BB971F980}"/>
            </c:ext>
          </c:extLst>
        </c:ser>
        <c:ser>
          <c:idx val="1"/>
          <c:order val="5"/>
          <c:tx>
            <c:v>L = 10%</c:v>
          </c:tx>
          <c:spPr>
            <a:ln w="25400">
              <a:solidFill>
                <a:srgbClr val="000000"/>
              </a:solidFill>
              <a:prstDash val="solid"/>
            </a:ln>
          </c:spPr>
          <c:marker>
            <c:symbol val="none"/>
          </c:marker>
          <c:xVal>
            <c:numRef>
              <c:f>'Left-Warrant 2-lane'!$E$98:$E$126</c:f>
              <c:numCache>
                <c:formatCode>0</c:formatCode>
                <c:ptCount val="29"/>
                <c:pt idx="0">
                  <c:v>551.02604919804571</c:v>
                </c:pt>
                <c:pt idx="1">
                  <c:v>535.04081188318082</c:v>
                </c:pt>
                <c:pt idx="2">
                  <c:v>519.70159835724996</c:v>
                </c:pt>
                <c:pt idx="3">
                  <c:v>504.96804969858698</c:v>
                </c:pt>
                <c:pt idx="4">
                  <c:v>490.80340257271638</c:v>
                </c:pt>
                <c:pt idx="5">
                  <c:v>477.17407999784723</c:v>
                </c:pt>
                <c:pt idx="6">
                  <c:v>464.04933797801061</c:v>
                </c:pt>
                <c:pt idx="7">
                  <c:v>451.40095918201723</c:v>
                </c:pt>
                <c:pt idx="8">
                  <c:v>439.20298641841856</c:v>
                </c:pt>
                <c:pt idx="9">
                  <c:v>427.43148991818759</c:v>
                </c:pt>
                <c:pt idx="10">
                  <c:v>416.06436345494399</c:v>
                </c:pt>
                <c:pt idx="11">
                  <c:v>405.08114515860382</c:v>
                </c:pt>
                <c:pt idx="12">
                  <c:v>394.46285955198442</c:v>
                </c:pt>
                <c:pt idx="13">
                  <c:v>384.19187789191005</c:v>
                </c:pt>
                <c:pt idx="14">
                  <c:v>374.25179435081139</c:v>
                </c:pt>
                <c:pt idx="15">
                  <c:v>364.62731595058909</c:v>
                </c:pt>
                <c:pt idx="16">
                  <c:v>355.30416447253748</c:v>
                </c:pt>
                <c:pt idx="17">
                  <c:v>346.2689888272792</c:v>
                </c:pt>
                <c:pt idx="18">
                  <c:v>337.50928658639026</c:v>
                </c:pt>
                <c:pt idx="19">
                  <c:v>329.01333356030131</c:v>
                </c:pt>
                <c:pt idx="20">
                  <c:v>320.77012046125628</c:v>
                </c:pt>
                <c:pt idx="21">
                  <c:v>312.76929582055436</c:v>
                </c:pt>
                <c:pt idx="22">
                  <c:v>305.0011144399927</c:v>
                </c:pt>
                <c:pt idx="23">
                  <c:v>297.45639075168361</c:v>
                </c:pt>
                <c:pt idx="24">
                  <c:v>290.12645654090397</c:v>
                </c:pt>
                <c:pt idx="25">
                  <c:v>283.00312255555855</c:v>
                </c:pt>
                <c:pt idx="26">
                  <c:v>276.07864358505174</c:v>
                </c:pt>
                <c:pt idx="27">
                  <c:v>269.3456866423374</c:v>
                </c:pt>
                <c:pt idx="28">
                  <c:v>262.79730192694939</c:v>
                </c:pt>
              </c:numCache>
            </c:numRef>
          </c:xVal>
          <c:yVal>
            <c:numRef>
              <c:f>'Left-Warrant 2-lane'!$F$98:$F$126</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5-6E3B-429C-9C3C-E67BB971F980}"/>
            </c:ext>
          </c:extLst>
        </c:ser>
        <c:ser>
          <c:idx val="2"/>
          <c:order val="6"/>
          <c:tx>
            <c:v>L = 15%</c:v>
          </c:tx>
          <c:spPr>
            <a:ln w="25400">
              <a:solidFill>
                <a:srgbClr val="000000"/>
              </a:solidFill>
              <a:prstDash val="solid"/>
            </a:ln>
          </c:spPr>
          <c:marker>
            <c:symbol val="none"/>
          </c:marker>
          <c:xVal>
            <c:numRef>
              <c:f>'Left-Warrant 2-lane'!$I$98:$I$126</c:f>
              <c:numCache>
                <c:formatCode>0</c:formatCode>
                <c:ptCount val="29"/>
                <c:pt idx="0">
                  <c:v>462.95448148359708</c:v>
                </c:pt>
                <c:pt idx="1">
                  <c:v>449.52419581331708</c:v>
                </c:pt>
                <c:pt idx="2">
                  <c:v>436.63667869030866</c:v>
                </c:pt>
                <c:pt idx="3">
                  <c:v>424.25802183803859</c:v>
                </c:pt>
                <c:pt idx="4">
                  <c:v>412.35733787745386</c:v>
                </c:pt>
                <c:pt idx="5">
                  <c:v>400.90641650122433</c:v>
                </c:pt>
                <c:pt idx="6">
                  <c:v>389.87942758619465</c:v>
                </c:pt>
                <c:pt idx="7">
                  <c:v>379.25266383223163</c:v>
                </c:pt>
                <c:pt idx="8">
                  <c:v>369.00431683640164</c:v>
                </c:pt>
                <c:pt idx="9">
                  <c:v>359.11428157131434</c:v>
                </c:pt>
                <c:pt idx="10">
                  <c:v>349.5639850918497</c:v>
                </c:pt>
                <c:pt idx="11">
                  <c:v>340.33623598851131</c:v>
                </c:pt>
                <c:pt idx="12">
                  <c:v>331.41509167162906</c:v>
                </c:pt>
                <c:pt idx="13">
                  <c:v>322.78574103441758</c:v>
                </c:pt>
                <c:pt idx="14">
                  <c:v>314.43440042471258</c:v>
                </c:pt>
                <c:pt idx="15">
                  <c:v>306.34822117091915</c:v>
                </c:pt>
                <c:pt idx="16">
                  <c:v>298.51520716986397</c:v>
                </c:pt>
                <c:pt idx="17">
                  <c:v>290.92414126281392</c:v>
                </c:pt>
                <c:pt idx="18">
                  <c:v>283.56451930885453</c:v>
                </c:pt>
                <c:pt idx="19">
                  <c:v>276.42649101849264</c:v>
                </c:pt>
                <c:pt idx="20">
                  <c:v>269.50080673989771</c:v>
                </c:pt>
                <c:pt idx="21">
                  <c:v>262.77876949979242</c:v>
                </c:pt>
                <c:pt idx="22">
                  <c:v>256.25219169400179</c:v>
                </c:pt>
                <c:pt idx="23">
                  <c:v>249.91335590186162</c:v>
                </c:pt>
                <c:pt idx="24">
                  <c:v>243.75497936630748</c:v>
                </c:pt>
                <c:pt idx="25">
                  <c:v>237.77018173937205</c:v>
                </c:pt>
                <c:pt idx="26">
                  <c:v>231.95245574256913</c:v>
                </c:pt>
                <c:pt idx="27">
                  <c:v>226.29564043446854</c:v>
                </c:pt>
                <c:pt idx="28">
                  <c:v>220.79389681476181</c:v>
                </c:pt>
              </c:numCache>
            </c:numRef>
          </c:xVal>
          <c:yVal>
            <c:numRef>
              <c:f>'Left-Warrant 2-lane'!$J$98:$J$125</c:f>
              <c:numCache>
                <c:formatCode>General</c:formatCode>
                <c:ptCount val="28"/>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numCache>
            </c:numRef>
          </c:yVal>
          <c:smooth val="1"/>
          <c:extLst>
            <c:ext xmlns:c16="http://schemas.microsoft.com/office/drawing/2014/chart" uri="{C3380CC4-5D6E-409C-BE32-E72D297353CC}">
              <c16:uniqueId val="{00000006-6E3B-429C-9C3C-E67BB971F980}"/>
            </c:ext>
          </c:extLst>
        </c:ser>
        <c:ser>
          <c:idx val="3"/>
          <c:order val="7"/>
          <c:tx>
            <c:v>L = 20%</c:v>
          </c:tx>
          <c:spPr>
            <a:ln w="25400">
              <a:solidFill>
                <a:schemeClr val="tx1"/>
              </a:solidFill>
              <a:prstDash val="solid"/>
            </a:ln>
          </c:spPr>
          <c:marker>
            <c:symbol val="none"/>
          </c:marker>
          <c:xVal>
            <c:numRef>
              <c:f>'Left-Warrant 2-lane'!$M$98:$M$126</c:f>
              <c:numCache>
                <c:formatCode>0</c:formatCode>
                <c:ptCount val="29"/>
                <c:pt idx="0">
                  <c:v>413.26953689853434</c:v>
                </c:pt>
                <c:pt idx="1">
                  <c:v>401.28060891238562</c:v>
                </c:pt>
                <c:pt idx="2">
                  <c:v>389.77619876793744</c:v>
                </c:pt>
                <c:pt idx="3">
                  <c:v>378.72603727394022</c:v>
                </c:pt>
                <c:pt idx="4">
                  <c:v>368.1025519295373</c:v>
                </c:pt>
                <c:pt idx="5">
                  <c:v>357.88055999838542</c:v>
                </c:pt>
                <c:pt idx="6">
                  <c:v>348.03700348350793</c:v>
                </c:pt>
                <c:pt idx="7">
                  <c:v>338.55071938651292</c:v>
                </c:pt>
                <c:pt idx="8">
                  <c:v>329.40223981381388</c:v>
                </c:pt>
                <c:pt idx="9">
                  <c:v>320.57361743864072</c:v>
                </c:pt>
                <c:pt idx="10">
                  <c:v>312.04827259120799</c:v>
                </c:pt>
                <c:pt idx="11">
                  <c:v>303.81085886895283</c:v>
                </c:pt>
                <c:pt idx="12">
                  <c:v>295.84714466398827</c:v>
                </c:pt>
                <c:pt idx="13">
                  <c:v>288.14390841893248</c:v>
                </c:pt>
                <c:pt idx="14">
                  <c:v>280.68884576310859</c:v>
                </c:pt>
                <c:pt idx="15">
                  <c:v>273.47048696294183</c:v>
                </c:pt>
                <c:pt idx="16">
                  <c:v>266.47812335440312</c:v>
                </c:pt>
                <c:pt idx="17">
                  <c:v>259.70174162045942</c:v>
                </c:pt>
                <c:pt idx="18">
                  <c:v>253.13196493979265</c:v>
                </c:pt>
                <c:pt idx="19">
                  <c:v>246.76000017022596</c:v>
                </c:pt>
                <c:pt idx="20">
                  <c:v>240.57759034594224</c:v>
                </c:pt>
                <c:pt idx="21">
                  <c:v>234.57697186541577</c:v>
                </c:pt>
                <c:pt idx="22">
                  <c:v>228.75083582999454</c:v>
                </c:pt>
                <c:pt idx="23">
                  <c:v>223.0922930637627</c:v>
                </c:pt>
                <c:pt idx="24">
                  <c:v>217.59484240567798</c:v>
                </c:pt>
                <c:pt idx="25">
                  <c:v>212.25234191666894</c:v>
                </c:pt>
                <c:pt idx="26">
                  <c:v>207.0589826887888</c:v>
                </c:pt>
                <c:pt idx="27">
                  <c:v>202.00926498175306</c:v>
                </c:pt>
                <c:pt idx="28">
                  <c:v>197.09797644521205</c:v>
                </c:pt>
              </c:numCache>
            </c:numRef>
          </c:xVal>
          <c:yVal>
            <c:numRef>
              <c:f>'Left-Warrant 2-lane'!$N$98:$N$126</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7-6E3B-429C-9C3C-E67BB971F980}"/>
            </c:ext>
          </c:extLst>
        </c:ser>
        <c:ser>
          <c:idx val="4"/>
          <c:order val="8"/>
          <c:tx>
            <c:v>L = 30%</c:v>
          </c:tx>
          <c:spPr>
            <a:ln w="25400">
              <a:solidFill>
                <a:srgbClr val="000000"/>
              </a:solidFill>
              <a:prstDash val="solid"/>
            </a:ln>
          </c:spPr>
          <c:marker>
            <c:symbol val="none"/>
          </c:marker>
          <c:xVal>
            <c:numRef>
              <c:f>'Left-Warrant 2-lane'!$Q$98:$Q$126</c:f>
              <c:numCache>
                <c:formatCode>0</c:formatCode>
                <c:ptCount val="29"/>
                <c:pt idx="0">
                  <c:v>360.73122576321509</c:v>
                </c:pt>
                <c:pt idx="1">
                  <c:v>350.26643147790065</c:v>
                </c:pt>
                <c:pt idx="2">
                  <c:v>340.22455903737659</c:v>
                </c:pt>
                <c:pt idx="3">
                  <c:v>330.57918732542822</c:v>
                </c:pt>
                <c:pt idx="4">
                  <c:v>321.30624909019383</c:v>
                </c:pt>
                <c:pt idx="5">
                  <c:v>312.38376303729268</c:v>
                </c:pt>
                <c:pt idx="6">
                  <c:v>303.79160249691137</c:v>
                </c:pt>
                <c:pt idx="7">
                  <c:v>295.51129488960942</c:v>
                </c:pt>
                <c:pt idx="8">
                  <c:v>287.52584724472354</c:v>
                </c:pt>
                <c:pt idx="9">
                  <c:v>279.81959385112128</c:v>
                </c:pt>
                <c:pt idx="10">
                  <c:v>272.37806278655705</c:v>
                </c:pt>
                <c:pt idx="11">
                  <c:v>265.18785861267094</c:v>
                </c:pt>
                <c:pt idx="12">
                  <c:v>258.23655896367188</c:v>
                </c:pt>
                <c:pt idx="13">
                  <c:v>251.51262311812985</c:v>
                </c:pt>
                <c:pt idx="14">
                  <c:v>245.00531094080569</c:v>
                </c:pt>
                <c:pt idx="15">
                  <c:v>238.70461082745049</c:v>
                </c:pt>
                <c:pt idx="16">
                  <c:v>232.60117548977752</c:v>
                </c:pt>
                <c:pt idx="17">
                  <c:v>226.68626458811787</c:v>
                </c:pt>
                <c:pt idx="18">
                  <c:v>220.95169336181101</c:v>
                </c:pt>
                <c:pt idx="19">
                  <c:v>215.38978652711936</c:v>
                </c:pt>
                <c:pt idx="20">
                  <c:v>209.99333681340147</c:v>
                </c:pt>
                <c:pt idx="21">
                  <c:v>204.75556759367512</c:v>
                </c:pt>
                <c:pt idx="22">
                  <c:v>199.67009913816509</c:v>
                </c:pt>
                <c:pt idx="23">
                  <c:v>194.73091808113605</c:v>
                </c:pt>
                <c:pt idx="24">
                  <c:v>189.93234974400121</c:v>
                </c:pt>
                <c:pt idx="25">
                  <c:v>185.26903300281595</c:v>
                </c:pt>
                <c:pt idx="26">
                  <c:v>180.73589742703345</c:v>
                </c:pt>
                <c:pt idx="27">
                  <c:v>176.32814244976674</c:v>
                </c:pt>
                <c:pt idx="28">
                  <c:v>172.04121835863</c:v>
                </c:pt>
              </c:numCache>
            </c:numRef>
          </c:xVal>
          <c:yVal>
            <c:numRef>
              <c:f>'Left-Warrant 2-lane'!$R$98:$R$126</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8-6E3B-429C-9C3C-E67BB971F980}"/>
            </c:ext>
          </c:extLst>
        </c:ser>
        <c:ser>
          <c:idx val="5"/>
          <c:order val="9"/>
          <c:tx>
            <c:v>L = 40%</c:v>
          </c:tx>
          <c:spPr>
            <a:ln w="25400">
              <a:solidFill>
                <a:schemeClr val="tx1"/>
              </a:solidFill>
            </a:ln>
          </c:spPr>
          <c:marker>
            <c:symbol val="none"/>
          </c:marker>
          <c:xVal>
            <c:numRef>
              <c:f>'Left-Warrant 2-lane'!$U$98:$U$126</c:f>
              <c:numCache>
                <c:formatCode>0</c:formatCode>
                <c:ptCount val="29"/>
                <c:pt idx="0">
                  <c:v>337.43316387923795</c:v>
                </c:pt>
                <c:pt idx="1">
                  <c:v>327.64424516955887</c:v>
                </c:pt>
                <c:pt idx="2">
                  <c:v>318.25093362102672</c:v>
                </c:pt>
                <c:pt idx="3">
                  <c:v>309.22851454247871</c:v>
                </c:pt>
                <c:pt idx="4">
                  <c:v>300.55447508123791</c:v>
                </c:pt>
                <c:pt idx="5">
                  <c:v>292.20825361918162</c:v>
                </c:pt>
                <c:pt idx="6">
                  <c:v>284.17102338061534</c:v>
                </c:pt>
                <c:pt idx="7">
                  <c:v>276.42550484970985</c:v>
                </c:pt>
                <c:pt idx="8">
                  <c:v>268.95580255791396</c:v>
                </c:pt>
                <c:pt idx="9">
                  <c:v>261.74726257428301</c:v>
                </c:pt>
                <c:pt idx="10">
                  <c:v>254.78634765512439</c:v>
                </c:pt>
                <c:pt idx="11">
                  <c:v>248.06052751521591</c:v>
                </c:pt>
                <c:pt idx="12">
                  <c:v>241.55818209537679</c:v>
                </c:pt>
                <c:pt idx="13">
                  <c:v>235.26851603921023</c:v>
                </c:pt>
                <c:pt idx="14">
                  <c:v>229.18148287012801</c:v>
                </c:pt>
                <c:pt idx="15">
                  <c:v>223.28771758988228</c:v>
                </c:pt>
                <c:pt idx="16">
                  <c:v>217.57847661090699</c:v>
                </c:pt>
                <c:pt idx="17">
                  <c:v>212.04558409408082</c:v>
                </c:pt>
                <c:pt idx="18">
                  <c:v>206.68138389685777</c:v>
                </c:pt>
                <c:pt idx="19">
                  <c:v>201.4786964487146</c:v>
                </c:pt>
                <c:pt idx="20">
                  <c:v>196.43077996529297</c:v>
                </c:pt>
                <c:pt idx="21">
                  <c:v>191.53129549249138</c:v>
                </c:pt>
                <c:pt idx="22">
                  <c:v>186.77427533955012</c:v>
                </c:pt>
                <c:pt idx="23">
                  <c:v>182.1540945178885</c:v>
                </c:pt>
                <c:pt idx="24">
                  <c:v>177.66544485174344</c:v>
                </c:pt>
                <c:pt idx="25">
                  <c:v>173.30331146886286</c:v>
                </c:pt>
                <c:pt idx="26">
                  <c:v>169.06295141576928</c:v>
                </c:pt>
                <c:pt idx="27">
                  <c:v>164.93987417332437</c:v>
                </c:pt>
                <c:pt idx="28">
                  <c:v>160.92982387528912</c:v>
                </c:pt>
              </c:numCache>
            </c:numRef>
          </c:xVal>
          <c:yVal>
            <c:numRef>
              <c:f>'Left-Warrant 2-lane'!$V$98:$V$126</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9-6E3B-429C-9C3C-E67BB971F980}"/>
            </c:ext>
          </c:extLst>
        </c:ser>
        <c:ser>
          <c:idx val="11"/>
          <c:order val="10"/>
          <c:tx>
            <c:v>Volume Data Point</c:v>
          </c:tx>
          <c:spPr>
            <a:ln w="28575">
              <a:noFill/>
            </a:ln>
          </c:spPr>
          <c:marker>
            <c:symbol val="circle"/>
            <c:size val="4"/>
            <c:spPr>
              <a:solidFill>
                <a:srgbClr val="FF0000"/>
              </a:solidFill>
              <a:ln>
                <a:noFill/>
                <a:prstDash val="solid"/>
              </a:ln>
            </c:spPr>
          </c:marker>
          <c:dLbls>
            <c:spPr>
              <a:solidFill>
                <a:sysClr val="window" lastClr="FFFFFF">
                  <a:lumMod val="75000"/>
                </a:sysClr>
              </a:solidFill>
              <a:ln>
                <a:solidFill>
                  <a:sysClr val="windowText" lastClr="000000"/>
                </a:solidFill>
              </a:ln>
            </c:spPr>
            <c:dLblPos val="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xVal>
            <c:numRef>
              <c:f>'Inputs&amp;Findings'!$BN$5</c:f>
              <c:numCache>
                <c:formatCode>0</c:formatCode>
                <c:ptCount val="1"/>
                <c:pt idx="0">
                  <c:v>0</c:v>
                </c:pt>
              </c:numCache>
            </c:numRef>
          </c:xVal>
          <c:yVal>
            <c:numRef>
              <c:f>'Inputs&amp;Findings'!$BN$6</c:f>
              <c:numCache>
                <c:formatCode>0</c:formatCode>
                <c:ptCount val="1"/>
                <c:pt idx="0">
                  <c:v>0</c:v>
                </c:pt>
              </c:numCache>
            </c:numRef>
          </c:yVal>
          <c:smooth val="1"/>
          <c:extLst>
            <c:ext xmlns:c16="http://schemas.microsoft.com/office/drawing/2014/chart" uri="{C3380CC4-5D6E-409C-BE32-E72D297353CC}">
              <c16:uniqueId val="{0000000A-6E3B-429C-9C3C-E67BB971F980}"/>
            </c:ext>
          </c:extLst>
        </c:ser>
        <c:ser>
          <c:idx val="10"/>
          <c:order val="11"/>
          <c:tx>
            <c:v>Graph Lines X</c:v>
          </c:tx>
          <c:spPr>
            <a:ln w="19050">
              <a:solidFill>
                <a:srgbClr val="FF0000"/>
              </a:solidFill>
              <a:prstDash val="sysDash"/>
            </a:ln>
          </c:spPr>
          <c:marker>
            <c:symbol val="none"/>
          </c:marker>
          <c:xVal>
            <c:numRef>
              <c:f>'Inputs&amp;Findings'!$BN$17:$BN$18</c:f>
              <c:numCache>
                <c:formatCode>0</c:formatCode>
                <c:ptCount val="2"/>
                <c:pt idx="0" formatCode="General">
                  <c:v>0</c:v>
                </c:pt>
                <c:pt idx="1">
                  <c:v>0</c:v>
                </c:pt>
              </c:numCache>
            </c:numRef>
          </c:xVal>
          <c:yVal>
            <c:numRef>
              <c:f>'Inputs&amp;Findings'!$BO$17:$BO$18</c:f>
              <c:numCache>
                <c:formatCode>0</c:formatCode>
                <c:ptCount val="2"/>
                <c:pt idx="0">
                  <c:v>0</c:v>
                </c:pt>
                <c:pt idx="1">
                  <c:v>0</c:v>
                </c:pt>
              </c:numCache>
            </c:numRef>
          </c:yVal>
          <c:smooth val="1"/>
          <c:extLst>
            <c:ext xmlns:c16="http://schemas.microsoft.com/office/drawing/2014/chart" uri="{C3380CC4-5D6E-409C-BE32-E72D297353CC}">
              <c16:uniqueId val="{0000000B-6E3B-429C-9C3C-E67BB971F980}"/>
            </c:ext>
          </c:extLst>
        </c:ser>
        <c:ser>
          <c:idx val="12"/>
          <c:order val="12"/>
          <c:tx>
            <c:v>Graph Line Y</c:v>
          </c:tx>
          <c:spPr>
            <a:ln w="19050">
              <a:solidFill>
                <a:srgbClr val="FF0000"/>
              </a:solidFill>
              <a:prstDash val="sysDash"/>
            </a:ln>
          </c:spPr>
          <c:marker>
            <c:symbol val="none"/>
          </c:marker>
          <c:xVal>
            <c:numRef>
              <c:f>'Inputs&amp;Findings'!$BP$17:$BP$18</c:f>
              <c:numCache>
                <c:formatCode>0</c:formatCode>
                <c:ptCount val="2"/>
                <c:pt idx="0">
                  <c:v>0</c:v>
                </c:pt>
                <c:pt idx="1">
                  <c:v>0</c:v>
                </c:pt>
              </c:numCache>
            </c:numRef>
          </c:xVal>
          <c:yVal>
            <c:numRef>
              <c:f>'Inputs&amp;Findings'!$BQ$17:$BQ$18</c:f>
              <c:numCache>
                <c:formatCode>0</c:formatCode>
                <c:ptCount val="2"/>
                <c:pt idx="0" formatCode="General">
                  <c:v>0</c:v>
                </c:pt>
                <c:pt idx="1">
                  <c:v>0</c:v>
                </c:pt>
              </c:numCache>
            </c:numRef>
          </c:yVal>
          <c:smooth val="1"/>
          <c:extLst>
            <c:ext xmlns:c16="http://schemas.microsoft.com/office/drawing/2014/chart" uri="{C3380CC4-5D6E-409C-BE32-E72D297353CC}">
              <c16:uniqueId val="{0000000C-6E3B-429C-9C3C-E67BB971F980}"/>
            </c:ext>
          </c:extLst>
        </c:ser>
        <c:ser>
          <c:idx val="13"/>
          <c:order val="13"/>
          <c:tx>
            <c:strRef>
              <c:f>'Inputs&amp;Findings'!$BF$24</c:f>
              <c:strCache>
                <c:ptCount val="1"/>
                <c:pt idx="0">
                  <c:v>N/A</c:v>
                </c:pt>
              </c:strCache>
            </c:strRef>
          </c:tx>
          <c:spPr>
            <a:ln w="19050">
              <a:solidFill>
                <a:srgbClr val="FF0000"/>
              </a:solidFill>
              <a:prstDash val="solid"/>
            </a:ln>
          </c:spPr>
          <c:marker>
            <c:symbol val="none"/>
          </c:marker>
          <c:xVal>
            <c:numRef>
              <c:f>'Inputs&amp;Findings'!$BF$27:$BF$34</c:f>
              <c:numCache>
                <c:formatCode>0</c:formatCode>
                <c:ptCount val="8"/>
                <c:pt idx="0">
                  <c:v>0</c:v>
                </c:pt>
                <c:pt idx="1">
                  <c:v>0</c:v>
                </c:pt>
                <c:pt idx="2">
                  <c:v>0</c:v>
                </c:pt>
                <c:pt idx="3">
                  <c:v>0</c:v>
                </c:pt>
                <c:pt idx="4">
                  <c:v>0</c:v>
                </c:pt>
                <c:pt idx="5">
                  <c:v>0</c:v>
                </c:pt>
                <c:pt idx="6">
                  <c:v>0</c:v>
                </c:pt>
                <c:pt idx="7">
                  <c:v>0</c:v>
                </c:pt>
              </c:numCache>
            </c:numRef>
          </c:xVal>
          <c:yVal>
            <c:numRef>
              <c:f>'Inputs&amp;Findings'!$BE$27:$BE$34</c:f>
              <c:numCache>
                <c:formatCode>0</c:formatCode>
                <c:ptCount val="8"/>
                <c:pt idx="0">
                  <c:v>100</c:v>
                </c:pt>
                <c:pt idx="1">
                  <c:v>200</c:v>
                </c:pt>
                <c:pt idx="2">
                  <c:v>300</c:v>
                </c:pt>
                <c:pt idx="3">
                  <c:v>400</c:v>
                </c:pt>
                <c:pt idx="4">
                  <c:v>500</c:v>
                </c:pt>
                <c:pt idx="5">
                  <c:v>600</c:v>
                </c:pt>
                <c:pt idx="6">
                  <c:v>700</c:v>
                </c:pt>
                <c:pt idx="7">
                  <c:v>800</c:v>
                </c:pt>
              </c:numCache>
            </c:numRef>
          </c:yVal>
          <c:smooth val="1"/>
          <c:extLst>
            <c:ext xmlns:c16="http://schemas.microsoft.com/office/drawing/2014/chart" uri="{C3380CC4-5D6E-409C-BE32-E72D297353CC}">
              <c16:uniqueId val="{0000000D-6E3B-429C-9C3C-E67BB971F980}"/>
            </c:ext>
          </c:extLst>
        </c:ser>
        <c:dLbls>
          <c:showLegendKey val="0"/>
          <c:showVal val="0"/>
          <c:showCatName val="0"/>
          <c:showSerName val="0"/>
          <c:showPercent val="0"/>
          <c:showBubbleSize val="0"/>
        </c:dLbls>
        <c:axId val="490291656"/>
        <c:axId val="490290872"/>
      </c:scatterChart>
      <c:valAx>
        <c:axId val="490291656"/>
        <c:scaling>
          <c:orientation val="minMax"/>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(VPH)</a:t>
                </a:r>
              </a:p>
            </c:rich>
          </c:tx>
          <c:layout>
            <c:manualLayout>
              <c:xMode val="edge"/>
              <c:yMode val="edge"/>
              <c:x val="0.43618196554862326"/>
              <c:y val="0.9445351409633525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0872"/>
        <c:crosses val="autoZero"/>
        <c:crossBetween val="midCat"/>
      </c:valAx>
      <c:valAx>
        <c:axId val="490290872"/>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Opposing Volume (VPH)</a:t>
                </a:r>
              </a:p>
            </c:rich>
          </c:tx>
          <c:layout>
            <c:manualLayout>
              <c:xMode val="edge"/>
              <c:yMode val="edge"/>
              <c:x val="1.220867458457325E-2"/>
              <c:y val="0.39314853237453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1656"/>
        <c:crosses val="autoZero"/>
        <c:crossBetween val="midCat"/>
      </c:valAx>
      <c:spPr>
        <a:noFill/>
        <a:ln w="12700">
          <a:solidFill>
            <a:srgbClr val="808080"/>
          </a:solidFill>
          <a:prstDash val="solid"/>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1"/>
        <c:delete val="1"/>
      </c:legendEntry>
      <c:legendEntry>
        <c:idx val="12"/>
        <c:delete val="1"/>
      </c:legendEntry>
      <c:layout>
        <c:manualLayout>
          <c:xMode val="edge"/>
          <c:yMode val="edge"/>
          <c:x val="0.81053883314752884"/>
          <c:y val="0.46105236027166158"/>
          <c:w val="0.16851727982162831"/>
          <c:h val="7.4471263923433798E-2"/>
        </c:manualLayout>
      </c:layout>
      <c:overlay val="0"/>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100" b="1" i="0" u="none" strike="noStrike" baseline="0">
                <a:solidFill>
                  <a:srgbClr val="000000"/>
                </a:solidFill>
                <a:latin typeface="Arial"/>
                <a:ea typeface="Arial"/>
                <a:cs typeface="Arial"/>
              </a:defRPr>
            </a:pPr>
            <a:r>
              <a:rPr lang="en-US"/>
              <a:t>Figure 10. Warrant for right turn lanes on two-lane roadways
 (45 mph or greater speeds, unsignalized and signalized intersections)</a:t>
            </a:r>
          </a:p>
        </c:rich>
      </c:tx>
      <c:overlay val="1"/>
      <c:spPr>
        <a:noFill/>
        <a:ln w="25400">
          <a:noFill/>
        </a:ln>
      </c:spPr>
    </c:title>
    <c:autoTitleDeleted val="0"/>
    <c:plotArea>
      <c:layout>
        <c:manualLayout>
          <c:layoutTarget val="inner"/>
          <c:xMode val="edge"/>
          <c:yMode val="edge"/>
          <c:x val="5.3511705685618728E-2"/>
          <c:y val="0.13420621931260229"/>
          <c:w val="0.73801560758082918"/>
          <c:h val="0.7348608837970535"/>
        </c:manualLayout>
      </c:layout>
      <c:scatterChart>
        <c:scatterStyle val="smoothMarker"/>
        <c:varyColors val="0"/>
        <c:ser>
          <c:idx val="0"/>
          <c:order val="0"/>
          <c:tx>
            <c:v>Warrant</c:v>
          </c:tx>
          <c:spPr>
            <a:ln>
              <a:solidFill>
                <a:srgbClr val="000000"/>
              </a:solidFill>
            </a:ln>
          </c:spPr>
          <c:marker>
            <c:symbol val="none"/>
          </c:marker>
          <c:xVal>
            <c:numRef>
              <c:f>'Right-Warrant'!$I$3:$I$17</c:f>
              <c:numCache>
                <c:formatCode>General</c:formatCode>
                <c:ptCount val="15"/>
                <c:pt idx="0">
                  <c:v>247</c:v>
                </c:pt>
                <c:pt idx="1">
                  <c:v>263</c:v>
                </c:pt>
                <c:pt idx="2">
                  <c:v>289</c:v>
                </c:pt>
                <c:pt idx="3">
                  <c:v>300</c:v>
                </c:pt>
                <c:pt idx="4">
                  <c:v>351</c:v>
                </c:pt>
                <c:pt idx="5">
                  <c:v>400</c:v>
                </c:pt>
                <c:pt idx="6">
                  <c:v>416</c:v>
                </c:pt>
                <c:pt idx="7">
                  <c:v>500</c:v>
                </c:pt>
                <c:pt idx="8">
                  <c:v>533</c:v>
                </c:pt>
                <c:pt idx="9">
                  <c:v>600</c:v>
                </c:pt>
                <c:pt idx="10">
                  <c:v>700</c:v>
                </c:pt>
                <c:pt idx="11">
                  <c:v>800</c:v>
                </c:pt>
                <c:pt idx="12">
                  <c:v>900</c:v>
                </c:pt>
                <c:pt idx="13">
                  <c:v>1000</c:v>
                </c:pt>
                <c:pt idx="14">
                  <c:v>1100</c:v>
                </c:pt>
              </c:numCache>
            </c:numRef>
          </c:xVal>
          <c:yVal>
            <c:numRef>
              <c:f>'Right-Warrant'!$H$3:$H$17</c:f>
              <c:numCache>
                <c:formatCode>General</c:formatCode>
                <c:ptCount val="15"/>
                <c:pt idx="0">
                  <c:v>110</c:v>
                </c:pt>
                <c:pt idx="1">
                  <c:v>90</c:v>
                </c:pt>
                <c:pt idx="2">
                  <c:v>70</c:v>
                </c:pt>
                <c:pt idx="3">
                  <c:v>64</c:v>
                </c:pt>
                <c:pt idx="4">
                  <c:v>50</c:v>
                </c:pt>
                <c:pt idx="5">
                  <c:v>42</c:v>
                </c:pt>
                <c:pt idx="6">
                  <c:v>40</c:v>
                </c:pt>
                <c:pt idx="7">
                  <c:v>32</c:v>
                </c:pt>
                <c:pt idx="8">
                  <c:v>30</c:v>
                </c:pt>
                <c:pt idx="9">
                  <c:v>27</c:v>
                </c:pt>
                <c:pt idx="10">
                  <c:v>23</c:v>
                </c:pt>
                <c:pt idx="11">
                  <c:v>20</c:v>
                </c:pt>
                <c:pt idx="12">
                  <c:v>17</c:v>
                </c:pt>
                <c:pt idx="13">
                  <c:v>15</c:v>
                </c:pt>
                <c:pt idx="14">
                  <c:v>14</c:v>
                </c:pt>
              </c:numCache>
            </c:numRef>
          </c:yVal>
          <c:smooth val="1"/>
          <c:extLst>
            <c:ext xmlns:c16="http://schemas.microsoft.com/office/drawing/2014/chart" uri="{C3380CC4-5D6E-409C-BE32-E72D297353CC}">
              <c16:uniqueId val="{00000000-250F-44DA-9F18-61FAC26A6623}"/>
            </c:ext>
          </c:extLst>
        </c:ser>
        <c:ser>
          <c:idx val="1"/>
          <c:order val="1"/>
          <c:tx>
            <c:v>Volume Data Point</c:v>
          </c:tx>
          <c:spPr>
            <a:ln>
              <a:noFill/>
            </a:ln>
          </c:spPr>
          <c:marker>
            <c:symbol val="circle"/>
            <c:size val="4"/>
            <c:spPr>
              <a:solidFill>
                <a:srgbClr val="FF0000"/>
              </a:solidFill>
              <a:ln>
                <a:noFill/>
              </a:ln>
            </c:spPr>
          </c:marker>
          <c:dLbls>
            <c:spPr>
              <a:solidFill>
                <a:sysClr val="window" lastClr="FFFFFF">
                  <a:lumMod val="75000"/>
                </a:sysClr>
              </a:solidFill>
              <a:ln>
                <a:solidFill>
                  <a:sysClr val="windowText" lastClr="000000"/>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strRef>
              <c:f>'Inputs&amp;Findings'!$BO$11</c:f>
              <c:strCache>
                <c:ptCount val="1"/>
                <c:pt idx="0">
                  <c:v>N/A</c:v>
                </c:pt>
              </c:strCache>
            </c:strRef>
          </c:xVal>
          <c:yVal>
            <c:numRef>
              <c:f>'Inputs&amp;Findings'!$BO$12</c:f>
              <c:numCache>
                <c:formatCode>0</c:formatCode>
                <c:ptCount val="1"/>
                <c:pt idx="0">
                  <c:v>0</c:v>
                </c:pt>
              </c:numCache>
            </c:numRef>
          </c:yVal>
          <c:smooth val="1"/>
          <c:extLst>
            <c:ext xmlns:c16="http://schemas.microsoft.com/office/drawing/2014/chart" uri="{C3380CC4-5D6E-409C-BE32-E72D297353CC}">
              <c16:uniqueId val="{00000001-250F-44DA-9F18-61FAC26A6623}"/>
            </c:ext>
          </c:extLst>
        </c:ser>
        <c:ser>
          <c:idx val="2"/>
          <c:order val="2"/>
          <c:tx>
            <c:v>Graph Line X</c:v>
          </c:tx>
          <c:spPr>
            <a:ln w="19050">
              <a:solidFill>
                <a:srgbClr val="FF0000"/>
              </a:solidFill>
              <a:prstDash val="sysDash"/>
            </a:ln>
          </c:spPr>
          <c:marker>
            <c:symbol val="none"/>
          </c:marker>
          <c:xVal>
            <c:strRef>
              <c:f>'Inputs&amp;Findings'!$BS$21:$BS$22</c:f>
              <c:strCache>
                <c:ptCount val="2"/>
                <c:pt idx="0">
                  <c:v>0</c:v>
                </c:pt>
                <c:pt idx="1">
                  <c:v>N/A</c:v>
                </c:pt>
              </c:strCache>
            </c:strRef>
          </c:xVal>
          <c:yVal>
            <c:numRef>
              <c:f>'Inputs&amp;Findings'!$BT$21:$BT$22</c:f>
              <c:numCache>
                <c:formatCode>0</c:formatCode>
                <c:ptCount val="2"/>
                <c:pt idx="0">
                  <c:v>0</c:v>
                </c:pt>
                <c:pt idx="1">
                  <c:v>0</c:v>
                </c:pt>
              </c:numCache>
            </c:numRef>
          </c:yVal>
          <c:smooth val="1"/>
          <c:extLst>
            <c:ext xmlns:c16="http://schemas.microsoft.com/office/drawing/2014/chart" uri="{C3380CC4-5D6E-409C-BE32-E72D297353CC}">
              <c16:uniqueId val="{00000002-250F-44DA-9F18-61FAC26A6623}"/>
            </c:ext>
          </c:extLst>
        </c:ser>
        <c:ser>
          <c:idx val="3"/>
          <c:order val="3"/>
          <c:tx>
            <c:v>Graph Line Y</c:v>
          </c:tx>
          <c:spPr>
            <a:ln w="19050">
              <a:solidFill>
                <a:srgbClr val="FF0000"/>
              </a:solidFill>
              <a:prstDash val="sysDash"/>
            </a:ln>
          </c:spPr>
          <c:marker>
            <c:symbol val="none"/>
          </c:marker>
          <c:xVal>
            <c:strRef>
              <c:f>'Inputs&amp;Findings'!$BU$21:$BU$22</c:f>
              <c:strCache>
                <c:ptCount val="2"/>
                <c:pt idx="0">
                  <c:v>N/A</c:v>
                </c:pt>
                <c:pt idx="1">
                  <c:v>N/A</c:v>
                </c:pt>
              </c:strCache>
            </c:strRef>
          </c:xVal>
          <c:yVal>
            <c:numRef>
              <c:f>'Inputs&amp;Findings'!$BV$21:$BV$22</c:f>
              <c:numCache>
                <c:formatCode>0</c:formatCode>
                <c:ptCount val="2"/>
                <c:pt idx="0" formatCode="General">
                  <c:v>0</c:v>
                </c:pt>
                <c:pt idx="1">
                  <c:v>0</c:v>
                </c:pt>
              </c:numCache>
            </c:numRef>
          </c:yVal>
          <c:smooth val="1"/>
          <c:extLst>
            <c:ext xmlns:c16="http://schemas.microsoft.com/office/drawing/2014/chart" uri="{C3380CC4-5D6E-409C-BE32-E72D297353CC}">
              <c16:uniqueId val="{00000003-250F-44DA-9F18-61FAC26A6623}"/>
            </c:ext>
          </c:extLst>
        </c:ser>
        <c:dLbls>
          <c:showLegendKey val="0"/>
          <c:showVal val="0"/>
          <c:showCatName val="0"/>
          <c:showSerName val="0"/>
          <c:showPercent val="0"/>
          <c:showBubbleSize val="0"/>
        </c:dLbls>
        <c:axId val="490295184"/>
        <c:axId val="490287736"/>
      </c:scatterChart>
      <c:valAx>
        <c:axId val="490295184"/>
        <c:scaling>
          <c:orientation val="minMax"/>
          <c:max val="1200"/>
          <c:min val="2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including Right Turns (VPH)</a:t>
                </a:r>
              </a:p>
            </c:rich>
          </c:tx>
          <c:layout>
            <c:manualLayout>
              <c:xMode val="edge"/>
              <c:yMode val="edge"/>
              <c:x val="0.34036253829475588"/>
              <c:y val="0.944535140963352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87736"/>
        <c:crosses val="autoZero"/>
        <c:crossBetween val="midCat"/>
        <c:minorUnit val="100"/>
      </c:valAx>
      <c:valAx>
        <c:axId val="490287736"/>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Right Turning Traffic (VPH)</a:t>
                </a:r>
              </a:p>
            </c:rich>
          </c:tx>
          <c:layout>
            <c:manualLayout>
              <c:xMode val="edge"/>
              <c:yMode val="edge"/>
              <c:x val="3.6781339134435784E-4"/>
              <c:y val="0.39314847988443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5184"/>
        <c:crosses val="autoZero"/>
        <c:crossBetween val="midCat"/>
        <c:minorUnit val="10"/>
      </c:valAx>
      <c:spPr>
        <a:noFill/>
        <a:ln w="12700">
          <a:solidFill>
            <a:srgbClr val="808080"/>
          </a:solidFill>
          <a:prstDash val="solid"/>
        </a:ln>
      </c:spPr>
    </c:plotArea>
    <c:legend>
      <c:legendPos val="r"/>
      <c:legendEntry>
        <c:idx val="0"/>
        <c:delete val="1"/>
      </c:legendEntry>
      <c:legendEntry>
        <c:idx val="2"/>
        <c:delete val="1"/>
      </c:legendEntry>
      <c:legendEntry>
        <c:idx val="3"/>
        <c:delete val="1"/>
      </c:legendEntry>
      <c:layout>
        <c:manualLayout>
          <c:xMode val="edge"/>
          <c:yMode val="edge"/>
          <c:x val="0.80843297276898907"/>
          <c:y val="0.44877472183622291"/>
          <c:w val="0.14716369956871669"/>
          <c:h val="3.7144439475542176E-2"/>
        </c:manualLayout>
      </c:layout>
      <c:overlay val="0"/>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100" b="1" i="0" u="none" strike="noStrike" baseline="0">
                <a:solidFill>
                  <a:srgbClr val="000000"/>
                </a:solidFill>
                <a:latin typeface="Arial"/>
                <a:ea typeface="Arial"/>
                <a:cs typeface="Arial"/>
              </a:defRPr>
            </a:pPr>
            <a:r>
              <a:rPr lang="en-US"/>
              <a:t>Figure 11. Warrant for right turn lanes on four-lane roadways
 (40 mph or lower speeds, unsignalized and signalized intersections)</a:t>
            </a:r>
          </a:p>
        </c:rich>
      </c:tx>
      <c:overlay val="1"/>
      <c:spPr>
        <a:noFill/>
        <a:ln w="25400">
          <a:noFill/>
        </a:ln>
      </c:spPr>
    </c:title>
    <c:autoTitleDeleted val="0"/>
    <c:plotArea>
      <c:layout>
        <c:manualLayout>
          <c:layoutTarget val="inner"/>
          <c:xMode val="edge"/>
          <c:yMode val="edge"/>
          <c:x val="5.128205128205128E-2"/>
          <c:y val="0.14729950900163671"/>
          <c:w val="0.74024526198439533"/>
          <c:h val="0.73322422258592779"/>
        </c:manualLayout>
      </c:layout>
      <c:scatterChart>
        <c:scatterStyle val="smoothMarker"/>
        <c:varyColors val="0"/>
        <c:ser>
          <c:idx val="0"/>
          <c:order val="0"/>
          <c:tx>
            <c:v>Warrant</c:v>
          </c:tx>
          <c:spPr>
            <a:ln>
              <a:solidFill>
                <a:srgbClr val="000000"/>
              </a:solidFill>
            </a:ln>
          </c:spPr>
          <c:marker>
            <c:symbol val="none"/>
          </c:marker>
          <c:xVal>
            <c:numRef>
              <c:f>'Right-Warrant'!$Q$3:$Q$19</c:f>
              <c:numCache>
                <c:formatCode>General</c:formatCode>
                <c:ptCount val="17"/>
                <c:pt idx="0">
                  <c:v>560</c:v>
                </c:pt>
                <c:pt idx="1">
                  <c:v>585</c:v>
                </c:pt>
                <c:pt idx="2">
                  <c:v>610</c:v>
                </c:pt>
                <c:pt idx="3">
                  <c:v>640</c:v>
                </c:pt>
                <c:pt idx="4">
                  <c:v>670</c:v>
                </c:pt>
                <c:pt idx="5">
                  <c:v>710</c:v>
                </c:pt>
                <c:pt idx="6">
                  <c:v>745</c:v>
                </c:pt>
                <c:pt idx="7">
                  <c:v>835</c:v>
                </c:pt>
                <c:pt idx="8">
                  <c:v>925</c:v>
                </c:pt>
                <c:pt idx="9">
                  <c:v>1000</c:v>
                </c:pt>
                <c:pt idx="10">
                  <c:v>1065</c:v>
                </c:pt>
                <c:pt idx="11">
                  <c:v>1250</c:v>
                </c:pt>
                <c:pt idx="12">
                  <c:v>1500</c:v>
                </c:pt>
                <c:pt idx="13">
                  <c:v>1750</c:v>
                </c:pt>
                <c:pt idx="14">
                  <c:v>2000</c:v>
                </c:pt>
                <c:pt idx="15">
                  <c:v>2087</c:v>
                </c:pt>
                <c:pt idx="16">
                  <c:v>2250</c:v>
                </c:pt>
              </c:numCache>
            </c:numRef>
          </c:xVal>
          <c:yVal>
            <c:numRef>
              <c:f>'Right-Warrant'!$P$3:$P$19</c:f>
              <c:numCache>
                <c:formatCode>General</c:formatCode>
                <c:ptCount val="17"/>
                <c:pt idx="0">
                  <c:v>150</c:v>
                </c:pt>
                <c:pt idx="1">
                  <c:v>140</c:v>
                </c:pt>
                <c:pt idx="2">
                  <c:v>130</c:v>
                </c:pt>
                <c:pt idx="3">
                  <c:v>120</c:v>
                </c:pt>
                <c:pt idx="4">
                  <c:v>110</c:v>
                </c:pt>
                <c:pt idx="5">
                  <c:v>100</c:v>
                </c:pt>
                <c:pt idx="6">
                  <c:v>93</c:v>
                </c:pt>
                <c:pt idx="7">
                  <c:v>80</c:v>
                </c:pt>
                <c:pt idx="8">
                  <c:v>70</c:v>
                </c:pt>
                <c:pt idx="9">
                  <c:v>64</c:v>
                </c:pt>
                <c:pt idx="10">
                  <c:v>60</c:v>
                </c:pt>
                <c:pt idx="11">
                  <c:v>50</c:v>
                </c:pt>
                <c:pt idx="12">
                  <c:v>41</c:v>
                </c:pt>
                <c:pt idx="13">
                  <c:v>35</c:v>
                </c:pt>
                <c:pt idx="14">
                  <c:v>31</c:v>
                </c:pt>
                <c:pt idx="15">
                  <c:v>30</c:v>
                </c:pt>
                <c:pt idx="16">
                  <c:v>28</c:v>
                </c:pt>
              </c:numCache>
            </c:numRef>
          </c:yVal>
          <c:smooth val="1"/>
          <c:extLst>
            <c:ext xmlns:c16="http://schemas.microsoft.com/office/drawing/2014/chart" uri="{C3380CC4-5D6E-409C-BE32-E72D297353CC}">
              <c16:uniqueId val="{00000000-16F3-435F-9772-9D1D8CD8C8C5}"/>
            </c:ext>
          </c:extLst>
        </c:ser>
        <c:ser>
          <c:idx val="1"/>
          <c:order val="1"/>
          <c:tx>
            <c:v>Volume Data Point</c:v>
          </c:tx>
          <c:spPr>
            <a:ln>
              <a:noFill/>
            </a:ln>
          </c:spPr>
          <c:marker>
            <c:symbol val="circle"/>
            <c:size val="4"/>
            <c:spPr>
              <a:solidFill>
                <a:srgbClr val="FF0000"/>
              </a:solidFill>
              <a:ln>
                <a:noFill/>
              </a:ln>
            </c:spPr>
          </c:marker>
          <c:dLbls>
            <c:spPr>
              <a:solidFill>
                <a:schemeClr val="bg1">
                  <a:lumMod val="75000"/>
                </a:schemeClr>
              </a:solidFill>
              <a:ln>
                <a:solidFill>
                  <a:sysClr val="windowText" lastClr="000000"/>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'Inputs&amp;Findings'!$BP$11</c:f>
              <c:numCache>
                <c:formatCode>0</c:formatCode>
                <c:ptCount val="1"/>
                <c:pt idx="0">
                  <c:v>0</c:v>
                </c:pt>
              </c:numCache>
            </c:numRef>
          </c:xVal>
          <c:yVal>
            <c:numRef>
              <c:f>'Inputs&amp;Findings'!$BP$12</c:f>
              <c:numCache>
                <c:formatCode>0</c:formatCode>
                <c:ptCount val="1"/>
                <c:pt idx="0">
                  <c:v>0</c:v>
                </c:pt>
              </c:numCache>
            </c:numRef>
          </c:yVal>
          <c:smooth val="1"/>
          <c:extLst>
            <c:ext xmlns:c16="http://schemas.microsoft.com/office/drawing/2014/chart" uri="{C3380CC4-5D6E-409C-BE32-E72D297353CC}">
              <c16:uniqueId val="{00000001-16F3-435F-9772-9D1D8CD8C8C5}"/>
            </c:ext>
          </c:extLst>
        </c:ser>
        <c:ser>
          <c:idx val="2"/>
          <c:order val="2"/>
          <c:tx>
            <c:v>Graph Line X</c:v>
          </c:tx>
          <c:spPr>
            <a:ln w="19050">
              <a:solidFill>
                <a:srgbClr val="FF0000"/>
              </a:solidFill>
              <a:prstDash val="sysDash"/>
            </a:ln>
          </c:spPr>
          <c:marker>
            <c:symbol val="none"/>
          </c:marker>
          <c:xVal>
            <c:numRef>
              <c:f>'Inputs&amp;Findings'!$BS$25:$BS$26</c:f>
              <c:numCache>
                <c:formatCode>0</c:formatCode>
                <c:ptCount val="2"/>
                <c:pt idx="0" formatCode="General">
                  <c:v>0</c:v>
                </c:pt>
                <c:pt idx="1">
                  <c:v>0</c:v>
                </c:pt>
              </c:numCache>
            </c:numRef>
          </c:xVal>
          <c:yVal>
            <c:numRef>
              <c:f>'Inputs&amp;Findings'!$BT$25:$BT$26</c:f>
              <c:numCache>
                <c:formatCode>0</c:formatCode>
                <c:ptCount val="2"/>
                <c:pt idx="0">
                  <c:v>0</c:v>
                </c:pt>
                <c:pt idx="1">
                  <c:v>0</c:v>
                </c:pt>
              </c:numCache>
            </c:numRef>
          </c:yVal>
          <c:smooth val="1"/>
          <c:extLst>
            <c:ext xmlns:c16="http://schemas.microsoft.com/office/drawing/2014/chart" uri="{C3380CC4-5D6E-409C-BE32-E72D297353CC}">
              <c16:uniqueId val="{00000002-16F3-435F-9772-9D1D8CD8C8C5}"/>
            </c:ext>
          </c:extLst>
        </c:ser>
        <c:ser>
          <c:idx val="3"/>
          <c:order val="3"/>
          <c:tx>
            <c:v>Graph Line Y</c:v>
          </c:tx>
          <c:spPr>
            <a:ln w="19050">
              <a:solidFill>
                <a:srgbClr val="FF0000"/>
              </a:solidFill>
              <a:prstDash val="sysDash"/>
            </a:ln>
          </c:spPr>
          <c:marker>
            <c:symbol val="none"/>
          </c:marker>
          <c:xVal>
            <c:numRef>
              <c:f>'Inputs&amp;Findings'!$BU$25:$BU$26</c:f>
              <c:numCache>
                <c:formatCode>0</c:formatCode>
                <c:ptCount val="2"/>
                <c:pt idx="0">
                  <c:v>0</c:v>
                </c:pt>
                <c:pt idx="1">
                  <c:v>0</c:v>
                </c:pt>
              </c:numCache>
            </c:numRef>
          </c:xVal>
          <c:yVal>
            <c:numRef>
              <c:f>'Inputs&amp;Findings'!$BV$25:$BV$26</c:f>
              <c:numCache>
                <c:formatCode>0</c:formatCode>
                <c:ptCount val="2"/>
                <c:pt idx="0" formatCode="General">
                  <c:v>0</c:v>
                </c:pt>
                <c:pt idx="1">
                  <c:v>0</c:v>
                </c:pt>
              </c:numCache>
            </c:numRef>
          </c:yVal>
          <c:smooth val="1"/>
          <c:extLst>
            <c:ext xmlns:c16="http://schemas.microsoft.com/office/drawing/2014/chart" uri="{C3380CC4-5D6E-409C-BE32-E72D297353CC}">
              <c16:uniqueId val="{00000003-16F3-435F-9772-9D1D8CD8C8C5}"/>
            </c:ext>
          </c:extLst>
        </c:ser>
        <c:dLbls>
          <c:showLegendKey val="0"/>
          <c:showVal val="0"/>
          <c:showCatName val="0"/>
          <c:showSerName val="0"/>
          <c:showPercent val="0"/>
          <c:showBubbleSize val="0"/>
        </c:dLbls>
        <c:axId val="490286168"/>
        <c:axId val="490286560"/>
      </c:scatterChart>
      <c:valAx>
        <c:axId val="490286168"/>
        <c:scaling>
          <c:orientation val="minMax"/>
          <c:max val="2500"/>
          <c:min val="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including Right Turns (VPH)</a:t>
                </a:r>
              </a:p>
            </c:rich>
          </c:tx>
          <c:layout>
            <c:manualLayout>
              <c:xMode val="edge"/>
              <c:yMode val="edge"/>
              <c:x val="0.34036253829475588"/>
              <c:y val="0.944535140963352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86560"/>
        <c:crosses val="autoZero"/>
        <c:crossBetween val="midCat"/>
        <c:minorUnit val="250"/>
      </c:valAx>
      <c:valAx>
        <c:axId val="490286560"/>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Right Turning Traffic (VPH)</a:t>
                </a:r>
              </a:p>
            </c:rich>
          </c:tx>
          <c:layout>
            <c:manualLayout>
              <c:xMode val="edge"/>
              <c:yMode val="edge"/>
              <c:x val="3.6781339134435838E-4"/>
              <c:y val="0.39314847988443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86168"/>
        <c:crosses val="autoZero"/>
        <c:crossBetween val="midCat"/>
        <c:minorUnit val="10"/>
      </c:valAx>
      <c:spPr>
        <a:noFill/>
        <a:ln w="12700">
          <a:solidFill>
            <a:srgbClr val="808080"/>
          </a:solidFill>
          <a:prstDash val="solid"/>
        </a:ln>
      </c:spPr>
    </c:plotArea>
    <c:legend>
      <c:legendPos val="r"/>
      <c:legendEntry>
        <c:idx val="0"/>
        <c:delete val="1"/>
      </c:legendEntry>
      <c:legendEntry>
        <c:idx val="2"/>
        <c:delete val="1"/>
      </c:legendEntry>
      <c:legendEntry>
        <c:idx val="3"/>
        <c:delete val="1"/>
      </c:legendEntry>
      <c:layout>
        <c:manualLayout>
          <c:xMode val="edge"/>
          <c:yMode val="edge"/>
          <c:x val="0.79621378302599366"/>
          <c:y val="0.44517191535298861"/>
          <c:w val="0.14716369956871669"/>
          <c:h val="3.7144439475542176E-2"/>
        </c:manualLayout>
      </c:layout>
      <c:overlay val="0"/>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100" b="1" i="0" u="none" strike="noStrike" baseline="0">
                <a:solidFill>
                  <a:srgbClr val="000000"/>
                </a:solidFill>
                <a:latin typeface="Arial"/>
                <a:ea typeface="Arial"/>
                <a:cs typeface="Arial"/>
              </a:defRPr>
            </a:pPr>
            <a:r>
              <a:rPr lang="en-US"/>
              <a:t>Figure 12. Warrant for right turn lanes on four-lane roadways </a:t>
            </a:r>
          </a:p>
          <a:p>
            <a:pPr>
              <a:defRPr sz="1100" b="1" i="0" u="none" strike="noStrike" baseline="0">
                <a:solidFill>
                  <a:srgbClr val="000000"/>
                </a:solidFill>
                <a:latin typeface="Arial"/>
                <a:ea typeface="Arial"/>
                <a:cs typeface="Arial"/>
              </a:defRPr>
            </a:pPr>
            <a:r>
              <a:rPr lang="en-US"/>
              <a:t>(45 mph or greater speeds, unsignalized and signalized intersections)</a:t>
            </a:r>
          </a:p>
        </c:rich>
      </c:tx>
      <c:overlay val="1"/>
      <c:spPr>
        <a:noFill/>
        <a:ln w="25400">
          <a:noFill/>
        </a:ln>
      </c:spPr>
    </c:title>
    <c:autoTitleDeleted val="0"/>
    <c:plotArea>
      <c:layout>
        <c:manualLayout>
          <c:layoutTarget val="inner"/>
          <c:xMode val="edge"/>
          <c:yMode val="edge"/>
          <c:x val="6.2430323299888534E-2"/>
          <c:y val="0.15057283142389524"/>
          <c:w val="0.72909698996655459"/>
          <c:h val="0.73322422258592779"/>
        </c:manualLayout>
      </c:layout>
      <c:scatterChart>
        <c:scatterStyle val="smoothMarker"/>
        <c:varyColors val="0"/>
        <c:ser>
          <c:idx val="0"/>
          <c:order val="0"/>
          <c:tx>
            <c:v>Warrant</c:v>
          </c:tx>
          <c:spPr>
            <a:ln>
              <a:solidFill>
                <a:srgbClr val="000000"/>
              </a:solidFill>
            </a:ln>
          </c:spPr>
          <c:marker>
            <c:symbol val="none"/>
          </c:marker>
          <c:xVal>
            <c:numRef>
              <c:f>'Right-Warrant'!$X$3:$X$10</c:f>
              <c:numCache>
                <c:formatCode>General</c:formatCode>
                <c:ptCount val="8"/>
                <c:pt idx="0">
                  <c:v>352</c:v>
                </c:pt>
                <c:pt idx="1">
                  <c:v>377</c:v>
                </c:pt>
                <c:pt idx="2">
                  <c:v>407</c:v>
                </c:pt>
                <c:pt idx="3">
                  <c:v>500</c:v>
                </c:pt>
                <c:pt idx="4">
                  <c:v>650</c:v>
                </c:pt>
                <c:pt idx="5">
                  <c:v>788</c:v>
                </c:pt>
                <c:pt idx="6">
                  <c:v>1029</c:v>
                </c:pt>
                <c:pt idx="7">
                  <c:v>1585</c:v>
                </c:pt>
              </c:numCache>
            </c:numRef>
          </c:xVal>
          <c:yVal>
            <c:numRef>
              <c:f>'Right-Warrant'!$W$3:$W$10</c:f>
              <c:numCache>
                <c:formatCode>General</c:formatCode>
                <c:ptCount val="8"/>
                <c:pt idx="0">
                  <c:v>150</c:v>
                </c:pt>
                <c:pt idx="1">
                  <c:v>120</c:v>
                </c:pt>
                <c:pt idx="2">
                  <c:v>100</c:v>
                </c:pt>
                <c:pt idx="3">
                  <c:v>70</c:v>
                </c:pt>
                <c:pt idx="4">
                  <c:v>50</c:v>
                </c:pt>
                <c:pt idx="5">
                  <c:v>40</c:v>
                </c:pt>
                <c:pt idx="6">
                  <c:v>30</c:v>
                </c:pt>
                <c:pt idx="7">
                  <c:v>20</c:v>
                </c:pt>
              </c:numCache>
            </c:numRef>
          </c:yVal>
          <c:smooth val="1"/>
          <c:extLst>
            <c:ext xmlns:c16="http://schemas.microsoft.com/office/drawing/2014/chart" uri="{C3380CC4-5D6E-409C-BE32-E72D297353CC}">
              <c16:uniqueId val="{00000000-4C8E-4015-920F-A89F285450C3}"/>
            </c:ext>
          </c:extLst>
        </c:ser>
        <c:ser>
          <c:idx val="1"/>
          <c:order val="1"/>
          <c:tx>
            <c:v>Volume Data Point</c:v>
          </c:tx>
          <c:spPr>
            <a:ln>
              <a:noFill/>
            </a:ln>
          </c:spPr>
          <c:marker>
            <c:symbol val="circle"/>
            <c:size val="4"/>
            <c:spPr>
              <a:solidFill>
                <a:srgbClr val="FF0000"/>
              </a:solidFill>
              <a:ln>
                <a:noFill/>
              </a:ln>
            </c:spPr>
          </c:marker>
          <c:dLbls>
            <c:spPr>
              <a:solidFill>
                <a:sysClr val="window" lastClr="FFFFFF">
                  <a:lumMod val="75000"/>
                </a:sysClr>
              </a:solidFill>
              <a:ln>
                <a:solidFill>
                  <a:sysClr val="windowText" lastClr="000000"/>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'Inputs&amp;Findings'!$BQ$11</c:f>
              <c:numCache>
                <c:formatCode>0</c:formatCode>
                <c:ptCount val="1"/>
                <c:pt idx="0">
                  <c:v>0</c:v>
                </c:pt>
              </c:numCache>
            </c:numRef>
          </c:xVal>
          <c:yVal>
            <c:numRef>
              <c:f>'Inputs&amp;Findings'!$BQ$12</c:f>
              <c:numCache>
                <c:formatCode>0</c:formatCode>
                <c:ptCount val="1"/>
                <c:pt idx="0">
                  <c:v>0</c:v>
                </c:pt>
              </c:numCache>
            </c:numRef>
          </c:yVal>
          <c:smooth val="1"/>
          <c:extLst>
            <c:ext xmlns:c16="http://schemas.microsoft.com/office/drawing/2014/chart" uri="{C3380CC4-5D6E-409C-BE32-E72D297353CC}">
              <c16:uniqueId val="{00000001-4C8E-4015-920F-A89F285450C3}"/>
            </c:ext>
          </c:extLst>
        </c:ser>
        <c:ser>
          <c:idx val="2"/>
          <c:order val="2"/>
          <c:tx>
            <c:v>Graph Line X</c:v>
          </c:tx>
          <c:spPr>
            <a:ln w="19050">
              <a:solidFill>
                <a:srgbClr val="FF0000"/>
              </a:solidFill>
              <a:prstDash val="sysDash"/>
            </a:ln>
          </c:spPr>
          <c:marker>
            <c:symbol val="none"/>
          </c:marker>
          <c:xVal>
            <c:numRef>
              <c:f>'Inputs&amp;Findings'!$BS$29:$BS$30</c:f>
              <c:numCache>
                <c:formatCode>0</c:formatCode>
                <c:ptCount val="2"/>
                <c:pt idx="0" formatCode="General">
                  <c:v>0</c:v>
                </c:pt>
                <c:pt idx="1">
                  <c:v>0</c:v>
                </c:pt>
              </c:numCache>
            </c:numRef>
          </c:xVal>
          <c:yVal>
            <c:numRef>
              <c:f>'Inputs&amp;Findings'!$BT$29:$BT$30</c:f>
              <c:numCache>
                <c:formatCode>0</c:formatCode>
                <c:ptCount val="2"/>
                <c:pt idx="0">
                  <c:v>0</c:v>
                </c:pt>
                <c:pt idx="1">
                  <c:v>0</c:v>
                </c:pt>
              </c:numCache>
            </c:numRef>
          </c:yVal>
          <c:smooth val="1"/>
          <c:extLst>
            <c:ext xmlns:c16="http://schemas.microsoft.com/office/drawing/2014/chart" uri="{C3380CC4-5D6E-409C-BE32-E72D297353CC}">
              <c16:uniqueId val="{00000002-4C8E-4015-920F-A89F285450C3}"/>
            </c:ext>
          </c:extLst>
        </c:ser>
        <c:ser>
          <c:idx val="3"/>
          <c:order val="3"/>
          <c:tx>
            <c:v>Graph Line Y</c:v>
          </c:tx>
          <c:spPr>
            <a:ln w="19050">
              <a:solidFill>
                <a:srgbClr val="FF0000"/>
              </a:solidFill>
              <a:prstDash val="sysDash"/>
            </a:ln>
          </c:spPr>
          <c:marker>
            <c:symbol val="none"/>
          </c:marker>
          <c:xVal>
            <c:numRef>
              <c:f>'Inputs&amp;Findings'!$BU$29:$BU$30</c:f>
              <c:numCache>
                <c:formatCode>0</c:formatCode>
                <c:ptCount val="2"/>
                <c:pt idx="0">
                  <c:v>0</c:v>
                </c:pt>
                <c:pt idx="1">
                  <c:v>0</c:v>
                </c:pt>
              </c:numCache>
            </c:numRef>
          </c:xVal>
          <c:yVal>
            <c:numRef>
              <c:f>'Inputs&amp;Findings'!$BV$29:$BV$30</c:f>
              <c:numCache>
                <c:formatCode>0</c:formatCode>
                <c:ptCount val="2"/>
                <c:pt idx="0" formatCode="General">
                  <c:v>0</c:v>
                </c:pt>
                <c:pt idx="1">
                  <c:v>0</c:v>
                </c:pt>
              </c:numCache>
            </c:numRef>
          </c:yVal>
          <c:smooth val="1"/>
          <c:extLst>
            <c:ext xmlns:c16="http://schemas.microsoft.com/office/drawing/2014/chart" uri="{C3380CC4-5D6E-409C-BE32-E72D297353CC}">
              <c16:uniqueId val="{00000003-4C8E-4015-920F-A89F285450C3}"/>
            </c:ext>
          </c:extLst>
        </c:ser>
        <c:dLbls>
          <c:showLegendKey val="0"/>
          <c:showVal val="0"/>
          <c:showCatName val="0"/>
          <c:showSerName val="0"/>
          <c:showPercent val="0"/>
          <c:showBubbleSize val="0"/>
        </c:dLbls>
        <c:axId val="490285384"/>
        <c:axId val="552348936"/>
      </c:scatterChart>
      <c:valAx>
        <c:axId val="490285384"/>
        <c:scaling>
          <c:orientation val="minMax"/>
          <c:max val="1750"/>
          <c:min val="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including Right Turns (VPH)</a:t>
                </a:r>
              </a:p>
            </c:rich>
          </c:tx>
          <c:layout>
            <c:manualLayout>
              <c:xMode val="edge"/>
              <c:yMode val="edge"/>
              <c:x val="0.34036253829475588"/>
              <c:y val="0.944535140963352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52348936"/>
        <c:crosses val="autoZero"/>
        <c:crossBetween val="midCat"/>
        <c:minorUnit val="250"/>
      </c:valAx>
      <c:valAx>
        <c:axId val="552348936"/>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Right Turning Traffic (VPH)</a:t>
                </a:r>
              </a:p>
            </c:rich>
          </c:tx>
          <c:layout>
            <c:manualLayout>
              <c:xMode val="edge"/>
              <c:yMode val="edge"/>
              <c:x val="6.2882570796502562E-3"/>
              <c:y val="0.395325350446164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85384"/>
        <c:crosses val="autoZero"/>
        <c:crossBetween val="midCat"/>
        <c:minorUnit val="10"/>
      </c:valAx>
      <c:spPr>
        <a:noFill/>
        <a:ln w="12700">
          <a:solidFill>
            <a:srgbClr val="808080"/>
          </a:solidFill>
          <a:prstDash val="solid"/>
        </a:ln>
      </c:spPr>
    </c:plotArea>
    <c:legend>
      <c:legendPos val="r"/>
      <c:legendEntry>
        <c:idx val="0"/>
        <c:delete val="1"/>
      </c:legendEntry>
      <c:legendEntry>
        <c:idx val="2"/>
        <c:delete val="1"/>
      </c:legendEntry>
      <c:legendEntry>
        <c:idx val="3"/>
        <c:delete val="1"/>
      </c:legendEntry>
      <c:layout>
        <c:manualLayout>
          <c:xMode val="edge"/>
          <c:yMode val="edge"/>
          <c:x val="0.79980392609328432"/>
          <c:y val="0.42885327086800457"/>
          <c:w val="0.14716369956871669"/>
          <c:h val="3.7144439475542176E-2"/>
        </c:manualLayout>
      </c:layout>
      <c:overlay val="0"/>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Figure 2. Warrant for left turn lanes on two-lane highways</a:t>
            </a:r>
          </a:p>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 (40 mph speed, unsignalized and signalized intersections)</a:t>
            </a:r>
          </a:p>
          <a:p>
            <a:pPr>
              <a:defRPr sz="1000" b="0" i="0" u="none" strike="noStrike" baseline="0">
                <a:solidFill>
                  <a:srgbClr val="000000"/>
                </a:solidFill>
                <a:latin typeface="Arial"/>
                <a:ea typeface="Arial"/>
                <a:cs typeface="Arial"/>
              </a:defRPr>
            </a:pPr>
            <a:r>
              <a:rPr lang="en-US" sz="900" b="0" i="0" u="none" strike="noStrike" baseline="0">
                <a:solidFill>
                  <a:srgbClr val="000000"/>
                </a:solidFill>
                <a:latin typeface="Arial"/>
                <a:cs typeface="Arial"/>
              </a:rPr>
              <a:t>(L = % Left Turns in Advancing Volume)</a:t>
            </a:r>
          </a:p>
        </c:rich>
      </c:tx>
      <c:overlay val="0"/>
      <c:spPr>
        <a:noFill/>
        <a:ln w="25400">
          <a:noFill/>
        </a:ln>
      </c:spPr>
    </c:title>
    <c:autoTitleDeleted val="0"/>
    <c:plotArea>
      <c:layout>
        <c:manualLayout>
          <c:layoutTarget val="inner"/>
          <c:xMode val="edge"/>
          <c:yMode val="edge"/>
          <c:x val="7.6923076923076927E-2"/>
          <c:y val="0.14729950900163671"/>
          <c:w val="0.69899665551839874"/>
          <c:h val="0.74631751227495913"/>
        </c:manualLayout>
      </c:layout>
      <c:scatterChart>
        <c:scatterStyle val="smoothMarker"/>
        <c:varyColors val="0"/>
        <c:ser>
          <c:idx val="9"/>
          <c:order val="0"/>
          <c:tx>
            <c:v>L = 1%</c:v>
          </c:tx>
          <c:spPr>
            <a:ln w="25400">
              <a:solidFill>
                <a:sysClr val="windowText" lastClr="000000"/>
              </a:solidFill>
              <a:prstDash val="solid"/>
            </a:ln>
          </c:spPr>
          <c:marker>
            <c:symbol val="none"/>
          </c:marker>
          <c:xVal>
            <c:numRef>
              <c:f>'Left-Warrant 2-lane'!$AK$2:$AK$30</c:f>
              <c:numCache>
                <c:formatCode>General</c:formatCode>
                <c:ptCount val="29"/>
                <c:pt idx="0">
                  <c:v>1549</c:v>
                </c:pt>
                <c:pt idx="1">
                  <c:v>1504</c:v>
                </c:pt>
                <c:pt idx="2">
                  <c:v>1461</c:v>
                </c:pt>
                <c:pt idx="3">
                  <c:v>1420</c:v>
                </c:pt>
                <c:pt idx="4">
                  <c:v>1380</c:v>
                </c:pt>
                <c:pt idx="5">
                  <c:v>1342</c:v>
                </c:pt>
                <c:pt idx="6">
                  <c:v>1305</c:v>
                </c:pt>
                <c:pt idx="7">
                  <c:v>1269</c:v>
                </c:pt>
                <c:pt idx="8">
                  <c:v>1235</c:v>
                </c:pt>
                <c:pt idx="9">
                  <c:v>1202</c:v>
                </c:pt>
                <c:pt idx="10">
                  <c:v>1170</c:v>
                </c:pt>
                <c:pt idx="11">
                  <c:v>1139</c:v>
                </c:pt>
                <c:pt idx="12">
                  <c:v>1109</c:v>
                </c:pt>
                <c:pt idx="13">
                  <c:v>1080</c:v>
                </c:pt>
                <c:pt idx="14">
                  <c:v>1052</c:v>
                </c:pt>
                <c:pt idx="15">
                  <c:v>1025</c:v>
                </c:pt>
                <c:pt idx="16">
                  <c:v>999</c:v>
                </c:pt>
                <c:pt idx="17">
                  <c:v>974</c:v>
                </c:pt>
                <c:pt idx="18">
                  <c:v>949</c:v>
                </c:pt>
                <c:pt idx="19">
                  <c:v>925</c:v>
                </c:pt>
                <c:pt idx="20">
                  <c:v>902</c:v>
                </c:pt>
                <c:pt idx="21">
                  <c:v>879</c:v>
                </c:pt>
                <c:pt idx="22">
                  <c:v>858</c:v>
                </c:pt>
                <c:pt idx="23">
                  <c:v>836</c:v>
                </c:pt>
                <c:pt idx="24">
                  <c:v>816</c:v>
                </c:pt>
                <c:pt idx="25">
                  <c:v>796</c:v>
                </c:pt>
                <c:pt idx="26">
                  <c:v>776</c:v>
                </c:pt>
                <c:pt idx="27">
                  <c:v>757</c:v>
                </c:pt>
                <c:pt idx="28">
                  <c:v>739</c:v>
                </c:pt>
              </c:numCache>
            </c:numRef>
          </c:xVal>
          <c:yVal>
            <c:numRef>
              <c:f>'Left-Warrant 2-lane'!$AL$2:$AL$30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0-A42F-4B39-84DE-67633F442DC8}"/>
            </c:ext>
          </c:extLst>
        </c:ser>
        <c:ser>
          <c:idx val="8"/>
          <c:order val="1"/>
          <c:tx>
            <c:v>L = 2%</c:v>
          </c:tx>
          <c:spPr>
            <a:ln w="25400">
              <a:solidFill>
                <a:sysClr val="windowText" lastClr="000000"/>
              </a:solidFill>
            </a:ln>
          </c:spPr>
          <c:marker>
            <c:symbol val="none"/>
          </c:marker>
          <c:xVal>
            <c:numRef>
              <c:f>'Left-Warrant 2-lane'!$AG$2:$AG$30</c:f>
              <c:numCache>
                <c:formatCode>General</c:formatCode>
                <c:ptCount val="29"/>
                <c:pt idx="0">
                  <c:v>1101</c:v>
                </c:pt>
                <c:pt idx="1">
                  <c:v>1069</c:v>
                </c:pt>
                <c:pt idx="2">
                  <c:v>1038</c:v>
                </c:pt>
                <c:pt idx="3">
                  <c:v>1009</c:v>
                </c:pt>
                <c:pt idx="4">
                  <c:v>981</c:v>
                </c:pt>
                <c:pt idx="5">
                  <c:v>954</c:v>
                </c:pt>
                <c:pt idx="6">
                  <c:v>927</c:v>
                </c:pt>
                <c:pt idx="7">
                  <c:v>902</c:v>
                </c:pt>
                <c:pt idx="8">
                  <c:v>878</c:v>
                </c:pt>
                <c:pt idx="9">
                  <c:v>854</c:v>
                </c:pt>
                <c:pt idx="10">
                  <c:v>831</c:v>
                </c:pt>
                <c:pt idx="11">
                  <c:v>809</c:v>
                </c:pt>
                <c:pt idx="12">
                  <c:v>788</c:v>
                </c:pt>
                <c:pt idx="13">
                  <c:v>768</c:v>
                </c:pt>
                <c:pt idx="14">
                  <c:v>748</c:v>
                </c:pt>
                <c:pt idx="15">
                  <c:v>729</c:v>
                </c:pt>
                <c:pt idx="16">
                  <c:v>710</c:v>
                </c:pt>
                <c:pt idx="17">
                  <c:v>692</c:v>
                </c:pt>
                <c:pt idx="18">
                  <c:v>674</c:v>
                </c:pt>
                <c:pt idx="19">
                  <c:v>657</c:v>
                </c:pt>
                <c:pt idx="20">
                  <c:v>641</c:v>
                </c:pt>
                <c:pt idx="21">
                  <c:v>625</c:v>
                </c:pt>
                <c:pt idx="22">
                  <c:v>609</c:v>
                </c:pt>
                <c:pt idx="23">
                  <c:v>594</c:v>
                </c:pt>
                <c:pt idx="24">
                  <c:v>580</c:v>
                </c:pt>
                <c:pt idx="25">
                  <c:v>566</c:v>
                </c:pt>
                <c:pt idx="26">
                  <c:v>552</c:v>
                </c:pt>
                <c:pt idx="27">
                  <c:v>538</c:v>
                </c:pt>
                <c:pt idx="28">
                  <c:v>525</c:v>
                </c:pt>
              </c:numCache>
            </c:numRef>
          </c:xVal>
          <c:yVal>
            <c:numRef>
              <c:f>'Left-Warrant 2-lane'!$AH$2:$AH$30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1-A42F-4B39-84DE-67633F442DC8}"/>
            </c:ext>
          </c:extLst>
        </c:ser>
        <c:ser>
          <c:idx val="7"/>
          <c:order val="2"/>
          <c:tx>
            <c:v>L = 3%</c:v>
          </c:tx>
          <c:spPr>
            <a:ln w="25400">
              <a:solidFill>
                <a:srgbClr val="000000"/>
              </a:solidFill>
              <a:prstDash val="solid"/>
            </a:ln>
          </c:spPr>
          <c:marker>
            <c:symbol val="none"/>
          </c:marker>
          <c:xVal>
            <c:numRef>
              <c:f>'Left-Warrant 2-lane'!$AC$2:$AC$30</c:f>
              <c:numCache>
                <c:formatCode>General</c:formatCode>
                <c:ptCount val="29"/>
                <c:pt idx="0">
                  <c:v>904</c:v>
                </c:pt>
                <c:pt idx="1">
                  <c:v>877</c:v>
                </c:pt>
                <c:pt idx="2">
                  <c:v>852</c:v>
                </c:pt>
                <c:pt idx="3">
                  <c:v>828</c:v>
                </c:pt>
                <c:pt idx="4">
                  <c:v>805</c:v>
                </c:pt>
                <c:pt idx="5">
                  <c:v>783</c:v>
                </c:pt>
                <c:pt idx="6">
                  <c:v>761</c:v>
                </c:pt>
                <c:pt idx="7">
                  <c:v>740</c:v>
                </c:pt>
                <c:pt idx="8">
                  <c:v>720</c:v>
                </c:pt>
                <c:pt idx="9">
                  <c:v>701</c:v>
                </c:pt>
                <c:pt idx="10">
                  <c:v>682</c:v>
                </c:pt>
                <c:pt idx="11">
                  <c:v>664</c:v>
                </c:pt>
                <c:pt idx="12">
                  <c:v>647</c:v>
                </c:pt>
                <c:pt idx="13">
                  <c:v>630</c:v>
                </c:pt>
                <c:pt idx="14">
                  <c:v>614</c:v>
                </c:pt>
                <c:pt idx="15">
                  <c:v>598</c:v>
                </c:pt>
                <c:pt idx="16">
                  <c:v>583</c:v>
                </c:pt>
                <c:pt idx="17">
                  <c:v>568</c:v>
                </c:pt>
                <c:pt idx="18">
                  <c:v>553</c:v>
                </c:pt>
                <c:pt idx="19">
                  <c:v>540</c:v>
                </c:pt>
                <c:pt idx="20">
                  <c:v>526</c:v>
                </c:pt>
                <c:pt idx="21">
                  <c:v>513</c:v>
                </c:pt>
                <c:pt idx="22">
                  <c:v>500</c:v>
                </c:pt>
                <c:pt idx="23">
                  <c:v>488</c:v>
                </c:pt>
                <c:pt idx="24">
                  <c:v>476</c:v>
                </c:pt>
                <c:pt idx="25">
                  <c:v>464</c:v>
                </c:pt>
                <c:pt idx="26">
                  <c:v>453</c:v>
                </c:pt>
                <c:pt idx="27">
                  <c:v>442</c:v>
                </c:pt>
                <c:pt idx="28">
                  <c:v>431</c:v>
                </c:pt>
              </c:numCache>
            </c:numRef>
          </c:xVal>
          <c:yVal>
            <c:numRef>
              <c:f>'Left-Warrant 2-lane'!$AD$2:$AD$30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2-A42F-4B39-84DE-67633F442DC8}"/>
            </c:ext>
          </c:extLst>
        </c:ser>
        <c:ser>
          <c:idx val="6"/>
          <c:order val="3"/>
          <c:tx>
            <c:v>L = 4%</c:v>
          </c:tx>
          <c:spPr>
            <a:ln w="25400">
              <a:solidFill>
                <a:schemeClr val="tx1"/>
              </a:solidFill>
            </a:ln>
          </c:spPr>
          <c:marker>
            <c:symbol val="none"/>
          </c:marker>
          <c:xVal>
            <c:numRef>
              <c:f>'Left-Warrant 2-lane'!$Y$2:$Y$30</c:f>
              <c:numCache>
                <c:formatCode>General</c:formatCode>
                <c:ptCount val="29"/>
                <c:pt idx="0">
                  <c:v>787</c:v>
                </c:pt>
                <c:pt idx="1">
                  <c:v>764</c:v>
                </c:pt>
                <c:pt idx="2">
                  <c:v>742</c:v>
                </c:pt>
                <c:pt idx="3">
                  <c:v>721</c:v>
                </c:pt>
                <c:pt idx="4">
                  <c:v>701</c:v>
                </c:pt>
                <c:pt idx="5">
                  <c:v>681</c:v>
                </c:pt>
                <c:pt idx="6">
                  <c:v>662</c:v>
                </c:pt>
                <c:pt idx="7">
                  <c:v>644</c:v>
                </c:pt>
                <c:pt idx="8">
                  <c:v>627</c:v>
                </c:pt>
                <c:pt idx="9">
                  <c:v>610</c:v>
                </c:pt>
                <c:pt idx="10">
                  <c:v>594</c:v>
                </c:pt>
                <c:pt idx="11">
                  <c:v>578</c:v>
                </c:pt>
                <c:pt idx="12">
                  <c:v>563</c:v>
                </c:pt>
                <c:pt idx="13">
                  <c:v>548</c:v>
                </c:pt>
                <c:pt idx="14">
                  <c:v>534</c:v>
                </c:pt>
                <c:pt idx="15">
                  <c:v>521</c:v>
                </c:pt>
                <c:pt idx="16">
                  <c:v>507</c:v>
                </c:pt>
                <c:pt idx="17">
                  <c:v>494</c:v>
                </c:pt>
                <c:pt idx="18">
                  <c:v>482</c:v>
                </c:pt>
                <c:pt idx="19">
                  <c:v>470</c:v>
                </c:pt>
                <c:pt idx="20">
                  <c:v>458</c:v>
                </c:pt>
                <c:pt idx="21">
                  <c:v>447</c:v>
                </c:pt>
                <c:pt idx="22">
                  <c:v>435</c:v>
                </c:pt>
                <c:pt idx="23">
                  <c:v>425</c:v>
                </c:pt>
                <c:pt idx="24">
                  <c:v>414</c:v>
                </c:pt>
                <c:pt idx="25">
                  <c:v>404</c:v>
                </c:pt>
                <c:pt idx="26">
                  <c:v>394</c:v>
                </c:pt>
                <c:pt idx="27">
                  <c:v>385</c:v>
                </c:pt>
                <c:pt idx="28">
                  <c:v>375</c:v>
                </c:pt>
              </c:numCache>
            </c:numRef>
          </c:xVal>
          <c:yVal>
            <c:numRef>
              <c:f>'Left-Warrant 2-lane'!$Z$2:$Z$30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3-A42F-4B39-84DE-67633F442DC8}"/>
            </c:ext>
          </c:extLst>
        </c:ser>
        <c:ser>
          <c:idx val="0"/>
          <c:order val="4"/>
          <c:tx>
            <c:v>L = 5%</c:v>
          </c:tx>
          <c:spPr>
            <a:ln w="25400">
              <a:solidFill>
                <a:srgbClr val="000000"/>
              </a:solidFill>
              <a:prstDash val="solid"/>
            </a:ln>
          </c:spPr>
          <c:marker>
            <c:symbol val="none"/>
          </c:marker>
          <c:xVal>
            <c:numRef>
              <c:f>'Left-Warrant 2-lane'!$A$2:$A$30</c:f>
              <c:numCache>
                <c:formatCode>General</c:formatCode>
                <c:ptCount val="29"/>
                <c:pt idx="0">
                  <c:v>707</c:v>
                </c:pt>
                <c:pt idx="1">
                  <c:v>687</c:v>
                </c:pt>
                <c:pt idx="2">
                  <c:v>667</c:v>
                </c:pt>
                <c:pt idx="3">
                  <c:v>648</c:v>
                </c:pt>
                <c:pt idx="4">
                  <c:v>630</c:v>
                </c:pt>
                <c:pt idx="5">
                  <c:v>612</c:v>
                </c:pt>
                <c:pt idx="6">
                  <c:v>596</c:v>
                </c:pt>
                <c:pt idx="7">
                  <c:v>579</c:v>
                </c:pt>
                <c:pt idx="8">
                  <c:v>564</c:v>
                </c:pt>
                <c:pt idx="9">
                  <c:v>549</c:v>
                </c:pt>
                <c:pt idx="10">
                  <c:v>534</c:v>
                </c:pt>
                <c:pt idx="11">
                  <c:v>520</c:v>
                </c:pt>
                <c:pt idx="12">
                  <c:v>506</c:v>
                </c:pt>
                <c:pt idx="13">
                  <c:v>493</c:v>
                </c:pt>
                <c:pt idx="14">
                  <c:v>480</c:v>
                </c:pt>
                <c:pt idx="15">
                  <c:v>468</c:v>
                </c:pt>
                <c:pt idx="16">
                  <c:v>456</c:v>
                </c:pt>
                <c:pt idx="17">
                  <c:v>444</c:v>
                </c:pt>
                <c:pt idx="18">
                  <c:v>433</c:v>
                </c:pt>
                <c:pt idx="19">
                  <c:v>422</c:v>
                </c:pt>
                <c:pt idx="20">
                  <c:v>412</c:v>
                </c:pt>
                <c:pt idx="21">
                  <c:v>401</c:v>
                </c:pt>
                <c:pt idx="22">
                  <c:v>391</c:v>
                </c:pt>
                <c:pt idx="23">
                  <c:v>382</c:v>
                </c:pt>
                <c:pt idx="24">
                  <c:v>372</c:v>
                </c:pt>
                <c:pt idx="25">
                  <c:v>363</c:v>
                </c:pt>
                <c:pt idx="26">
                  <c:v>354</c:v>
                </c:pt>
                <c:pt idx="27">
                  <c:v>346</c:v>
                </c:pt>
                <c:pt idx="28">
                  <c:v>337</c:v>
                </c:pt>
              </c:numCache>
            </c:numRef>
          </c:xVal>
          <c:yVal>
            <c:numRef>
              <c:f>'Left-Warrant 2-lane'!$B$2:$B$30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4-A42F-4B39-84DE-67633F442DC8}"/>
            </c:ext>
          </c:extLst>
        </c:ser>
        <c:ser>
          <c:idx val="1"/>
          <c:order val="5"/>
          <c:tx>
            <c:v>L = 10%</c:v>
          </c:tx>
          <c:spPr>
            <a:ln w="25400">
              <a:solidFill>
                <a:srgbClr val="000000"/>
              </a:solidFill>
              <a:prstDash val="solid"/>
            </a:ln>
          </c:spPr>
          <c:marker>
            <c:symbol val="none"/>
          </c:marker>
          <c:xVal>
            <c:numRef>
              <c:f>'Left-Warrant 2-lane'!$E$2:$E$30</c:f>
              <c:numCache>
                <c:formatCode>General</c:formatCode>
                <c:ptCount val="29"/>
                <c:pt idx="0">
                  <c:v>514</c:v>
                </c:pt>
                <c:pt idx="1">
                  <c:v>499</c:v>
                </c:pt>
                <c:pt idx="2">
                  <c:v>485</c:v>
                </c:pt>
                <c:pt idx="3">
                  <c:v>471</c:v>
                </c:pt>
                <c:pt idx="4">
                  <c:v>458</c:v>
                </c:pt>
                <c:pt idx="5">
                  <c:v>445</c:v>
                </c:pt>
                <c:pt idx="6">
                  <c:v>433</c:v>
                </c:pt>
                <c:pt idx="7">
                  <c:v>421</c:v>
                </c:pt>
                <c:pt idx="8">
                  <c:v>410</c:v>
                </c:pt>
                <c:pt idx="9">
                  <c:v>399</c:v>
                </c:pt>
                <c:pt idx="10">
                  <c:v>388</c:v>
                </c:pt>
                <c:pt idx="11">
                  <c:v>378</c:v>
                </c:pt>
                <c:pt idx="12">
                  <c:v>368</c:v>
                </c:pt>
                <c:pt idx="13">
                  <c:v>358</c:v>
                </c:pt>
                <c:pt idx="14">
                  <c:v>349</c:v>
                </c:pt>
                <c:pt idx="15">
                  <c:v>340</c:v>
                </c:pt>
                <c:pt idx="16">
                  <c:v>331</c:v>
                </c:pt>
                <c:pt idx="17">
                  <c:v>323</c:v>
                </c:pt>
                <c:pt idx="18">
                  <c:v>315</c:v>
                </c:pt>
                <c:pt idx="19">
                  <c:v>307</c:v>
                </c:pt>
                <c:pt idx="20">
                  <c:v>299</c:v>
                </c:pt>
                <c:pt idx="21">
                  <c:v>292</c:v>
                </c:pt>
                <c:pt idx="22">
                  <c:v>284</c:v>
                </c:pt>
                <c:pt idx="23">
                  <c:v>277</c:v>
                </c:pt>
                <c:pt idx="24">
                  <c:v>271</c:v>
                </c:pt>
                <c:pt idx="25">
                  <c:v>264</c:v>
                </c:pt>
                <c:pt idx="26">
                  <c:v>257</c:v>
                </c:pt>
                <c:pt idx="27">
                  <c:v>251</c:v>
                </c:pt>
                <c:pt idx="28">
                  <c:v>245</c:v>
                </c:pt>
              </c:numCache>
            </c:numRef>
          </c:xVal>
          <c:yVal>
            <c:numRef>
              <c:f>'Left-Warrant 2-lane'!$F$2:$F$30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5-A42F-4B39-84DE-67633F442DC8}"/>
            </c:ext>
          </c:extLst>
        </c:ser>
        <c:ser>
          <c:idx val="2"/>
          <c:order val="6"/>
          <c:tx>
            <c:v>L = 15%</c:v>
          </c:tx>
          <c:spPr>
            <a:ln w="25400">
              <a:solidFill>
                <a:srgbClr val="000000"/>
              </a:solidFill>
              <a:prstDash val="solid"/>
            </a:ln>
          </c:spPr>
          <c:marker>
            <c:symbol val="none"/>
          </c:marker>
          <c:xVal>
            <c:numRef>
              <c:f>'Left-Warrant 2-lane'!$I$2:$I$30</c:f>
              <c:numCache>
                <c:formatCode>General</c:formatCode>
                <c:ptCount val="29"/>
                <c:pt idx="0">
                  <c:v>432</c:v>
                </c:pt>
                <c:pt idx="1">
                  <c:v>419</c:v>
                </c:pt>
                <c:pt idx="2">
                  <c:v>407</c:v>
                </c:pt>
                <c:pt idx="3">
                  <c:v>396</c:v>
                </c:pt>
                <c:pt idx="4">
                  <c:v>385</c:v>
                </c:pt>
                <c:pt idx="5">
                  <c:v>374</c:v>
                </c:pt>
                <c:pt idx="6">
                  <c:v>364</c:v>
                </c:pt>
                <c:pt idx="7">
                  <c:v>354</c:v>
                </c:pt>
                <c:pt idx="8">
                  <c:v>344</c:v>
                </c:pt>
                <c:pt idx="9">
                  <c:v>335</c:v>
                </c:pt>
                <c:pt idx="10">
                  <c:v>326</c:v>
                </c:pt>
                <c:pt idx="11">
                  <c:v>317</c:v>
                </c:pt>
                <c:pt idx="12">
                  <c:v>309</c:v>
                </c:pt>
                <c:pt idx="13">
                  <c:v>301</c:v>
                </c:pt>
                <c:pt idx="14">
                  <c:v>293</c:v>
                </c:pt>
                <c:pt idx="15">
                  <c:v>286</c:v>
                </c:pt>
                <c:pt idx="16">
                  <c:v>278</c:v>
                </c:pt>
                <c:pt idx="17">
                  <c:v>271</c:v>
                </c:pt>
                <c:pt idx="18">
                  <c:v>264</c:v>
                </c:pt>
                <c:pt idx="19">
                  <c:v>258</c:v>
                </c:pt>
                <c:pt idx="20">
                  <c:v>251</c:v>
                </c:pt>
                <c:pt idx="21">
                  <c:v>245</c:v>
                </c:pt>
                <c:pt idx="22">
                  <c:v>239</c:v>
                </c:pt>
                <c:pt idx="23">
                  <c:v>233</c:v>
                </c:pt>
                <c:pt idx="24">
                  <c:v>227</c:v>
                </c:pt>
                <c:pt idx="25">
                  <c:v>222</c:v>
                </c:pt>
                <c:pt idx="26">
                  <c:v>216</c:v>
                </c:pt>
                <c:pt idx="27">
                  <c:v>211</c:v>
                </c:pt>
                <c:pt idx="28">
                  <c:v>206</c:v>
                </c:pt>
              </c:numCache>
            </c:numRef>
          </c:xVal>
          <c:yVal>
            <c:numRef>
              <c:f>'Left-Warrant 2-lane'!$J$2:$J$30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6-A42F-4B39-84DE-67633F442DC8}"/>
            </c:ext>
          </c:extLst>
        </c:ser>
        <c:ser>
          <c:idx val="3"/>
          <c:order val="7"/>
          <c:tx>
            <c:v>L = 20%</c:v>
          </c:tx>
          <c:spPr>
            <a:ln w="25400">
              <a:solidFill>
                <a:srgbClr val="000000"/>
              </a:solidFill>
              <a:prstDash val="solid"/>
            </a:ln>
          </c:spPr>
          <c:marker>
            <c:symbol val="none"/>
          </c:marker>
          <c:xVal>
            <c:numRef>
              <c:f>'Left-Warrant 2-lane'!$M$2:$M$30</c:f>
              <c:numCache>
                <c:formatCode>General</c:formatCode>
                <c:ptCount val="29"/>
                <c:pt idx="0">
                  <c:v>385</c:v>
                </c:pt>
                <c:pt idx="1">
                  <c:v>374</c:v>
                </c:pt>
                <c:pt idx="2">
                  <c:v>363</c:v>
                </c:pt>
                <c:pt idx="3">
                  <c:v>353</c:v>
                </c:pt>
                <c:pt idx="4">
                  <c:v>343</c:v>
                </c:pt>
                <c:pt idx="5">
                  <c:v>334</c:v>
                </c:pt>
                <c:pt idx="6">
                  <c:v>325</c:v>
                </c:pt>
                <c:pt idx="7">
                  <c:v>316</c:v>
                </c:pt>
                <c:pt idx="8">
                  <c:v>307</c:v>
                </c:pt>
                <c:pt idx="9">
                  <c:v>299</c:v>
                </c:pt>
                <c:pt idx="10">
                  <c:v>291</c:v>
                </c:pt>
                <c:pt idx="11">
                  <c:v>283</c:v>
                </c:pt>
                <c:pt idx="12">
                  <c:v>276</c:v>
                </c:pt>
                <c:pt idx="13">
                  <c:v>269</c:v>
                </c:pt>
                <c:pt idx="14">
                  <c:v>262</c:v>
                </c:pt>
                <c:pt idx="15">
                  <c:v>255</c:v>
                </c:pt>
                <c:pt idx="16">
                  <c:v>248</c:v>
                </c:pt>
                <c:pt idx="17">
                  <c:v>242</c:v>
                </c:pt>
                <c:pt idx="18">
                  <c:v>236</c:v>
                </c:pt>
                <c:pt idx="19">
                  <c:v>230</c:v>
                </c:pt>
                <c:pt idx="20">
                  <c:v>224</c:v>
                </c:pt>
                <c:pt idx="21">
                  <c:v>219</c:v>
                </c:pt>
                <c:pt idx="22">
                  <c:v>213</c:v>
                </c:pt>
                <c:pt idx="23">
                  <c:v>208</c:v>
                </c:pt>
                <c:pt idx="24">
                  <c:v>203</c:v>
                </c:pt>
                <c:pt idx="25">
                  <c:v>198</c:v>
                </c:pt>
                <c:pt idx="26">
                  <c:v>193</c:v>
                </c:pt>
                <c:pt idx="27">
                  <c:v>188</c:v>
                </c:pt>
                <c:pt idx="28">
                  <c:v>184</c:v>
                </c:pt>
              </c:numCache>
            </c:numRef>
          </c:xVal>
          <c:yVal>
            <c:numRef>
              <c:f>'Left-Warrant 2-lane'!$N$2:$N$30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7-A42F-4B39-84DE-67633F442DC8}"/>
            </c:ext>
          </c:extLst>
        </c:ser>
        <c:ser>
          <c:idx val="4"/>
          <c:order val="8"/>
          <c:tx>
            <c:v>L = 30%</c:v>
          </c:tx>
          <c:spPr>
            <a:ln w="25400">
              <a:solidFill>
                <a:srgbClr val="000000"/>
              </a:solidFill>
              <a:prstDash val="solid"/>
            </a:ln>
          </c:spPr>
          <c:marker>
            <c:symbol val="none"/>
          </c:marker>
          <c:xVal>
            <c:numRef>
              <c:f>'Left-Warrant 2-lane'!$Q$2:$Q$30</c:f>
              <c:numCache>
                <c:formatCode>General</c:formatCode>
                <c:ptCount val="29"/>
                <c:pt idx="0">
                  <c:v>336</c:v>
                </c:pt>
                <c:pt idx="1">
                  <c:v>327</c:v>
                </c:pt>
                <c:pt idx="2">
                  <c:v>317</c:v>
                </c:pt>
                <c:pt idx="3">
                  <c:v>308</c:v>
                </c:pt>
                <c:pt idx="4">
                  <c:v>300</c:v>
                </c:pt>
                <c:pt idx="5">
                  <c:v>291</c:v>
                </c:pt>
                <c:pt idx="6">
                  <c:v>283</c:v>
                </c:pt>
                <c:pt idx="7">
                  <c:v>276</c:v>
                </c:pt>
                <c:pt idx="8">
                  <c:v>268</c:v>
                </c:pt>
                <c:pt idx="9">
                  <c:v>261</c:v>
                </c:pt>
                <c:pt idx="10">
                  <c:v>254</c:v>
                </c:pt>
                <c:pt idx="11">
                  <c:v>247</c:v>
                </c:pt>
                <c:pt idx="12">
                  <c:v>241</c:v>
                </c:pt>
                <c:pt idx="13">
                  <c:v>235</c:v>
                </c:pt>
                <c:pt idx="14">
                  <c:v>228</c:v>
                </c:pt>
                <c:pt idx="15">
                  <c:v>223</c:v>
                </c:pt>
                <c:pt idx="16">
                  <c:v>217</c:v>
                </c:pt>
                <c:pt idx="17">
                  <c:v>211</c:v>
                </c:pt>
                <c:pt idx="18">
                  <c:v>206</c:v>
                </c:pt>
                <c:pt idx="19">
                  <c:v>201</c:v>
                </c:pt>
                <c:pt idx="20">
                  <c:v>196</c:v>
                </c:pt>
                <c:pt idx="21">
                  <c:v>191</c:v>
                </c:pt>
                <c:pt idx="22">
                  <c:v>186</c:v>
                </c:pt>
                <c:pt idx="23">
                  <c:v>182</c:v>
                </c:pt>
                <c:pt idx="24">
                  <c:v>177</c:v>
                </c:pt>
                <c:pt idx="25">
                  <c:v>173</c:v>
                </c:pt>
                <c:pt idx="26">
                  <c:v>169</c:v>
                </c:pt>
                <c:pt idx="27">
                  <c:v>164</c:v>
                </c:pt>
                <c:pt idx="28">
                  <c:v>160</c:v>
                </c:pt>
              </c:numCache>
            </c:numRef>
          </c:xVal>
          <c:yVal>
            <c:numRef>
              <c:f>'Left-Warrant 2-lane'!$R$2:$R$30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8-A42F-4B39-84DE-67633F442DC8}"/>
            </c:ext>
          </c:extLst>
        </c:ser>
        <c:ser>
          <c:idx val="5"/>
          <c:order val="9"/>
          <c:tx>
            <c:v>L = 40%</c:v>
          </c:tx>
          <c:spPr>
            <a:ln w="25400">
              <a:solidFill>
                <a:sysClr val="windowText" lastClr="000000"/>
              </a:solidFill>
            </a:ln>
          </c:spPr>
          <c:marker>
            <c:symbol val="none"/>
          </c:marker>
          <c:xVal>
            <c:numRef>
              <c:f>'Left-Warrant 2-lane'!$U$2:$U$30</c:f>
              <c:numCache>
                <c:formatCode>General</c:formatCode>
                <c:ptCount val="29"/>
                <c:pt idx="0">
                  <c:v>315</c:v>
                </c:pt>
                <c:pt idx="1">
                  <c:v>306</c:v>
                </c:pt>
                <c:pt idx="2">
                  <c:v>297</c:v>
                </c:pt>
                <c:pt idx="3">
                  <c:v>288</c:v>
                </c:pt>
                <c:pt idx="4">
                  <c:v>280</c:v>
                </c:pt>
                <c:pt idx="5">
                  <c:v>272</c:v>
                </c:pt>
                <c:pt idx="6">
                  <c:v>265</c:v>
                </c:pt>
                <c:pt idx="7">
                  <c:v>258</c:v>
                </c:pt>
                <c:pt idx="8">
                  <c:v>251</c:v>
                </c:pt>
                <c:pt idx="9">
                  <c:v>244</c:v>
                </c:pt>
                <c:pt idx="10">
                  <c:v>238</c:v>
                </c:pt>
                <c:pt idx="11">
                  <c:v>231</c:v>
                </c:pt>
                <c:pt idx="12">
                  <c:v>225</c:v>
                </c:pt>
                <c:pt idx="13">
                  <c:v>219</c:v>
                </c:pt>
                <c:pt idx="14">
                  <c:v>214</c:v>
                </c:pt>
                <c:pt idx="15">
                  <c:v>208</c:v>
                </c:pt>
                <c:pt idx="16">
                  <c:v>203</c:v>
                </c:pt>
                <c:pt idx="17">
                  <c:v>198</c:v>
                </c:pt>
                <c:pt idx="18">
                  <c:v>193</c:v>
                </c:pt>
                <c:pt idx="19">
                  <c:v>188</c:v>
                </c:pt>
                <c:pt idx="20">
                  <c:v>183</c:v>
                </c:pt>
                <c:pt idx="21">
                  <c:v>179</c:v>
                </c:pt>
                <c:pt idx="22">
                  <c:v>174</c:v>
                </c:pt>
                <c:pt idx="23">
                  <c:v>170</c:v>
                </c:pt>
                <c:pt idx="24">
                  <c:v>166</c:v>
                </c:pt>
                <c:pt idx="25">
                  <c:v>162</c:v>
                </c:pt>
                <c:pt idx="26">
                  <c:v>158</c:v>
                </c:pt>
                <c:pt idx="27">
                  <c:v>154</c:v>
                </c:pt>
                <c:pt idx="28">
                  <c:v>150</c:v>
                </c:pt>
              </c:numCache>
            </c:numRef>
          </c:xVal>
          <c:yVal>
            <c:numRef>
              <c:f>'Left-Warrant 2-lane'!$V$2:$V$30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9-A42F-4B39-84DE-67633F442DC8}"/>
            </c:ext>
          </c:extLst>
        </c:ser>
        <c:ser>
          <c:idx val="14"/>
          <c:order val="10"/>
          <c:tx>
            <c:v>Volume Data Point</c:v>
          </c:tx>
          <c:spPr>
            <a:ln w="28575">
              <a:noFill/>
            </a:ln>
          </c:spPr>
          <c:marker>
            <c:symbol val="circle"/>
            <c:size val="4"/>
            <c:spPr>
              <a:solidFill>
                <a:srgbClr val="FF0000"/>
              </a:solidFill>
              <a:ln>
                <a:noFill/>
                <a:prstDash val="solid"/>
              </a:ln>
            </c:spPr>
          </c:marker>
          <c:dLbls>
            <c:spPr>
              <a:solidFill>
                <a:schemeClr val="bg1">
                  <a:lumMod val="75000"/>
                </a:schemeClr>
              </a:solidFill>
              <a:ln>
                <a:solidFill>
                  <a:sysClr val="windowText" lastClr="000000"/>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'Inputs&amp;Findings'!$BO$5</c:f>
              <c:numCache>
                <c:formatCode>0</c:formatCode>
                <c:ptCount val="1"/>
                <c:pt idx="0">
                  <c:v>0</c:v>
                </c:pt>
              </c:numCache>
            </c:numRef>
          </c:xVal>
          <c:yVal>
            <c:numRef>
              <c:f>'Inputs&amp;Findings'!$BO$6</c:f>
              <c:numCache>
                <c:formatCode>0</c:formatCode>
                <c:ptCount val="1"/>
                <c:pt idx="0">
                  <c:v>0</c:v>
                </c:pt>
              </c:numCache>
            </c:numRef>
          </c:yVal>
          <c:smooth val="1"/>
          <c:extLst>
            <c:ext xmlns:c16="http://schemas.microsoft.com/office/drawing/2014/chart" uri="{C3380CC4-5D6E-409C-BE32-E72D297353CC}">
              <c16:uniqueId val="{0000000A-A42F-4B39-84DE-67633F442DC8}"/>
            </c:ext>
          </c:extLst>
        </c:ser>
        <c:ser>
          <c:idx val="10"/>
          <c:order val="11"/>
          <c:tx>
            <c:v>Graph Line X</c:v>
          </c:tx>
          <c:spPr>
            <a:ln w="19050">
              <a:solidFill>
                <a:srgbClr val="FF0000"/>
              </a:solidFill>
              <a:prstDash val="sysDash"/>
            </a:ln>
          </c:spPr>
          <c:marker>
            <c:symbol val="none"/>
          </c:marker>
          <c:xVal>
            <c:numRef>
              <c:f>'Inputs&amp;Findings'!$BN$21:$BN$22</c:f>
              <c:numCache>
                <c:formatCode>0</c:formatCode>
                <c:ptCount val="2"/>
                <c:pt idx="0" formatCode="General">
                  <c:v>0</c:v>
                </c:pt>
                <c:pt idx="1">
                  <c:v>0</c:v>
                </c:pt>
              </c:numCache>
            </c:numRef>
          </c:xVal>
          <c:yVal>
            <c:numRef>
              <c:f>'Inputs&amp;Findings'!$BO$21:$BO$22</c:f>
              <c:numCache>
                <c:formatCode>0</c:formatCode>
                <c:ptCount val="2"/>
                <c:pt idx="0">
                  <c:v>0</c:v>
                </c:pt>
                <c:pt idx="1">
                  <c:v>0</c:v>
                </c:pt>
              </c:numCache>
            </c:numRef>
          </c:yVal>
          <c:smooth val="1"/>
          <c:extLst>
            <c:ext xmlns:c16="http://schemas.microsoft.com/office/drawing/2014/chart" uri="{C3380CC4-5D6E-409C-BE32-E72D297353CC}">
              <c16:uniqueId val="{0000000B-A42F-4B39-84DE-67633F442DC8}"/>
            </c:ext>
          </c:extLst>
        </c:ser>
        <c:ser>
          <c:idx val="11"/>
          <c:order val="12"/>
          <c:tx>
            <c:v>Graph Line Y</c:v>
          </c:tx>
          <c:spPr>
            <a:ln w="19050">
              <a:solidFill>
                <a:srgbClr val="FF0000"/>
              </a:solidFill>
              <a:prstDash val="sysDash"/>
            </a:ln>
          </c:spPr>
          <c:marker>
            <c:symbol val="none"/>
          </c:marker>
          <c:xVal>
            <c:numRef>
              <c:f>'Inputs&amp;Findings'!$BP$21:$BP$22</c:f>
              <c:numCache>
                <c:formatCode>0</c:formatCode>
                <c:ptCount val="2"/>
                <c:pt idx="0">
                  <c:v>0</c:v>
                </c:pt>
                <c:pt idx="1">
                  <c:v>0</c:v>
                </c:pt>
              </c:numCache>
            </c:numRef>
          </c:xVal>
          <c:yVal>
            <c:numRef>
              <c:f>'Inputs&amp;Findings'!$BQ$21:$BQ$22</c:f>
              <c:numCache>
                <c:formatCode>0</c:formatCode>
                <c:ptCount val="2"/>
                <c:pt idx="0" formatCode="General">
                  <c:v>0</c:v>
                </c:pt>
                <c:pt idx="1">
                  <c:v>0</c:v>
                </c:pt>
              </c:numCache>
            </c:numRef>
          </c:yVal>
          <c:smooth val="1"/>
          <c:extLst>
            <c:ext xmlns:c16="http://schemas.microsoft.com/office/drawing/2014/chart" uri="{C3380CC4-5D6E-409C-BE32-E72D297353CC}">
              <c16:uniqueId val="{0000000C-A42F-4B39-84DE-67633F442DC8}"/>
            </c:ext>
          </c:extLst>
        </c:ser>
        <c:ser>
          <c:idx val="12"/>
          <c:order val="13"/>
          <c:tx>
            <c:strRef>
              <c:f>'Inputs&amp;Findings'!$BG$24</c:f>
              <c:strCache>
                <c:ptCount val="1"/>
                <c:pt idx="0">
                  <c:v>N/A</c:v>
                </c:pt>
              </c:strCache>
            </c:strRef>
          </c:tx>
          <c:spPr>
            <a:ln w="19050">
              <a:solidFill>
                <a:srgbClr val="FF0000"/>
              </a:solidFill>
            </a:ln>
          </c:spPr>
          <c:marker>
            <c:symbol val="none"/>
          </c:marker>
          <c:xVal>
            <c:numRef>
              <c:f>'Inputs&amp;Findings'!$BG$27:$BG$34</c:f>
              <c:numCache>
                <c:formatCode>0</c:formatCode>
                <c:ptCount val="8"/>
                <c:pt idx="0">
                  <c:v>0</c:v>
                </c:pt>
                <c:pt idx="1">
                  <c:v>0</c:v>
                </c:pt>
                <c:pt idx="2">
                  <c:v>0</c:v>
                </c:pt>
                <c:pt idx="3">
                  <c:v>0</c:v>
                </c:pt>
                <c:pt idx="4">
                  <c:v>0</c:v>
                </c:pt>
                <c:pt idx="5">
                  <c:v>0</c:v>
                </c:pt>
                <c:pt idx="6">
                  <c:v>0</c:v>
                </c:pt>
                <c:pt idx="7">
                  <c:v>0</c:v>
                </c:pt>
              </c:numCache>
            </c:numRef>
          </c:xVal>
          <c:yVal>
            <c:numRef>
              <c:f>'Inputs&amp;Findings'!$BE$27:$BE$34</c:f>
              <c:numCache>
                <c:formatCode>0</c:formatCode>
                <c:ptCount val="8"/>
                <c:pt idx="0">
                  <c:v>100</c:v>
                </c:pt>
                <c:pt idx="1">
                  <c:v>200</c:v>
                </c:pt>
                <c:pt idx="2">
                  <c:v>300</c:v>
                </c:pt>
                <c:pt idx="3">
                  <c:v>400</c:v>
                </c:pt>
                <c:pt idx="4">
                  <c:v>500</c:v>
                </c:pt>
                <c:pt idx="5">
                  <c:v>600</c:v>
                </c:pt>
                <c:pt idx="6">
                  <c:v>700</c:v>
                </c:pt>
                <c:pt idx="7">
                  <c:v>800</c:v>
                </c:pt>
              </c:numCache>
            </c:numRef>
          </c:yVal>
          <c:smooth val="1"/>
          <c:extLst>
            <c:ext xmlns:c16="http://schemas.microsoft.com/office/drawing/2014/chart" uri="{C3380CC4-5D6E-409C-BE32-E72D297353CC}">
              <c16:uniqueId val="{0000000D-A42F-4B39-84DE-67633F442DC8}"/>
            </c:ext>
          </c:extLst>
        </c:ser>
        <c:dLbls>
          <c:showLegendKey val="0"/>
          <c:showVal val="0"/>
          <c:showCatName val="0"/>
          <c:showSerName val="0"/>
          <c:showPercent val="0"/>
          <c:showBubbleSize val="0"/>
        </c:dLbls>
        <c:axId val="490286952"/>
        <c:axId val="490292048"/>
      </c:scatterChart>
      <c:valAx>
        <c:axId val="490286952"/>
        <c:scaling>
          <c:orientation val="minMax"/>
          <c:max val="16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(VPH)</a:t>
                </a:r>
              </a:p>
            </c:rich>
          </c:tx>
          <c:layout>
            <c:manualLayout>
              <c:xMode val="edge"/>
              <c:yMode val="edge"/>
              <c:x val="0.4350721711625547"/>
              <c:y val="0.944535140963352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2048"/>
        <c:crosses val="autoZero"/>
        <c:crossBetween val="midCat"/>
      </c:valAx>
      <c:valAx>
        <c:axId val="490292048"/>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Opposing Volume (VPH)</a:t>
                </a:r>
              </a:p>
            </c:rich>
          </c:tx>
          <c:layout>
            <c:manualLayout>
              <c:xMode val="edge"/>
              <c:yMode val="edge"/>
              <c:x val="1.220867458457325E-2"/>
              <c:y val="0.39314853237453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86952"/>
        <c:crosses val="autoZero"/>
        <c:crossBetween val="midCat"/>
      </c:valAx>
      <c:spPr>
        <a:noFill/>
        <a:ln w="12700">
          <a:solidFill>
            <a:srgbClr val="808080"/>
          </a:solidFill>
          <a:prstDash val="solid"/>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txPr>
          <a:bodyPr/>
          <a:lstStyle/>
          <a:p>
            <a:pPr>
              <a:defRPr sz="1000" b="0" i="0" u="none" strike="noStrike" baseline="0">
                <a:solidFill>
                  <a:srgbClr val="000000"/>
                </a:solidFill>
                <a:latin typeface="Arial"/>
                <a:ea typeface="Arial"/>
                <a:cs typeface="Arial"/>
              </a:defRPr>
            </a:pPr>
            <a:endParaRPr lang="en-US"/>
          </a:p>
        </c:txPr>
      </c:legendEntry>
      <c:legendEntry>
        <c:idx val="11"/>
        <c:delete val="1"/>
      </c:legendEntry>
      <c:legendEntry>
        <c:idx val="12"/>
        <c:delete val="1"/>
      </c:legendEntry>
      <c:layout>
        <c:manualLayout>
          <c:xMode val="edge"/>
          <c:yMode val="edge"/>
          <c:x val="0.81270903010033768"/>
          <c:y val="0.42225859247135844"/>
          <c:w val="0.16851727982162831"/>
          <c:h val="7.4471263923433798E-2"/>
        </c:manualLayout>
      </c:layout>
      <c:overlay val="0"/>
      <c:spPr>
        <a:solidFill>
          <a:srgbClr val="FFFFFF"/>
        </a:solidFill>
        <a:ln w="3175">
          <a:no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Figure 3. Warrant for left turn lanes on two-lane highways</a:t>
            </a:r>
          </a:p>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 (45 mph speed, unsignalized and signalized intersections)</a:t>
            </a:r>
            <a:endParaRPr lang="en-US" sz="12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en-US" sz="900" b="0" i="0" u="none" strike="noStrike" baseline="0">
                <a:solidFill>
                  <a:srgbClr val="000000"/>
                </a:solidFill>
                <a:latin typeface="Arial"/>
                <a:cs typeface="Arial"/>
              </a:rPr>
              <a:t>(L = % Left Turns in Advancing Volume)</a:t>
            </a:r>
          </a:p>
        </c:rich>
      </c:tx>
      <c:overlay val="1"/>
      <c:spPr>
        <a:noFill/>
        <a:ln w="25400">
          <a:noFill/>
        </a:ln>
      </c:spPr>
    </c:title>
    <c:autoTitleDeleted val="0"/>
    <c:plotArea>
      <c:layout>
        <c:manualLayout>
          <c:layoutTarget val="inner"/>
          <c:xMode val="edge"/>
          <c:yMode val="edge"/>
          <c:x val="7.1348940914158304E-2"/>
          <c:y val="0.15220949263502612"/>
          <c:w val="0.71794871794872206"/>
          <c:h val="0.73158756137479541"/>
        </c:manualLayout>
      </c:layout>
      <c:scatterChart>
        <c:scatterStyle val="smoothMarker"/>
        <c:varyColors val="0"/>
        <c:ser>
          <c:idx val="9"/>
          <c:order val="0"/>
          <c:tx>
            <c:v>L = 1%</c:v>
          </c:tx>
          <c:spPr>
            <a:ln w="25400">
              <a:solidFill>
                <a:sysClr val="windowText" lastClr="000000"/>
              </a:solidFill>
            </a:ln>
          </c:spPr>
          <c:marker>
            <c:symbol val="none"/>
          </c:marker>
          <c:xVal>
            <c:numRef>
              <c:f>'Left-Warrant 2-lane'!$AK$130:$AK$158</c:f>
              <c:numCache>
                <c:formatCode>0</c:formatCode>
                <c:ptCount val="29"/>
                <c:pt idx="0">
                  <c:v>1469.7657477985358</c:v>
                </c:pt>
                <c:pt idx="1">
                  <c:v>1427.1279191332433</c:v>
                </c:pt>
                <c:pt idx="2">
                  <c:v>1386.2132460948399</c:v>
                </c:pt>
                <c:pt idx="3">
                  <c:v>1346.9140783085943</c:v>
                </c:pt>
                <c:pt idx="4">
                  <c:v>1309.132356000626</c:v>
                </c:pt>
                <c:pt idx="5">
                  <c:v>1272.7785184363324</c:v>
                </c:pt>
                <c:pt idx="6">
                  <c:v>1237.7705613760033</c:v>
                </c:pt>
                <c:pt idx="7">
                  <c:v>1204.0332200169369</c:v>
                </c:pt>
                <c:pt idx="8">
                  <c:v>1171.4972580844487</c:v>
                </c:pt>
                <c:pt idx="9">
                  <c:v>1140.0988470990701</c:v>
                </c:pt>
                <c:pt idx="10">
                  <c:v>1109.779022562853</c:v>
                </c:pt>
                <c:pt idx="11">
                  <c:v>1080.4832060110782</c:v>
                </c:pt>
                <c:pt idx="12">
                  <c:v>1052.1607836724888</c:v>
                </c:pt>
                <c:pt idx="13">
                  <c:v>1024.7647339535788</c:v>
                </c:pt>
                <c:pt idx="14">
                  <c:v>998.25129717463653</c:v>
                </c:pt>
                <c:pt idx="15">
                  <c:v>972.57968198754861</c:v>
                </c:pt>
                <c:pt idx="16">
                  <c:v>947.71180373765378</c:v>
                </c:pt>
                <c:pt idx="17">
                  <c:v>923.61205072584778</c:v>
                </c:pt>
                <c:pt idx="18">
                  <c:v>900.2470749078982</c:v>
                </c:pt>
                <c:pt idx="19">
                  <c:v>877.58560405579544</c:v>
                </c:pt>
                <c:pt idx="20">
                  <c:v>855.59827281725711</c:v>
                </c:pt>
                <c:pt idx="21">
                  <c:v>834.25747045744015</c:v>
                </c:pt>
                <c:pt idx="22">
                  <c:v>813.5372033621685</c:v>
                </c:pt>
                <c:pt idx="23">
                  <c:v>793.4129706333897</c:v>
                </c:pt>
                <c:pt idx="24">
                  <c:v>773.8616513222612</c:v>
                </c:pt>
                <c:pt idx="25">
                  <c:v>754.86140202909758</c:v>
                </c:pt>
                <c:pt idx="26">
                  <c:v>736.39156375736036</c:v>
                </c:pt>
                <c:pt idx="27">
                  <c:v>718.43257704483347</c:v>
                </c:pt>
                <c:pt idx="28">
                  <c:v>700.96590451257805</c:v>
                </c:pt>
              </c:numCache>
            </c:numRef>
          </c:xVal>
          <c:yVal>
            <c:numRef>
              <c:f>'Left-Warrant 2-lane'!$AL$130:$AL$158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0-F322-4AD5-894E-B5B16C50893B}"/>
            </c:ext>
          </c:extLst>
        </c:ser>
        <c:ser>
          <c:idx val="8"/>
          <c:order val="1"/>
          <c:tx>
            <c:v>L = 2%</c:v>
          </c:tx>
          <c:spPr>
            <a:ln w="25400">
              <a:solidFill>
                <a:sysClr val="windowText" lastClr="000000"/>
              </a:solidFill>
            </a:ln>
          </c:spPr>
          <c:marker>
            <c:symbol val="none"/>
          </c:marker>
          <c:xVal>
            <c:numRef>
              <c:f>'Left-Warrant 2-lane'!$AG$130:$AG$158</c:f>
              <c:numCache>
                <c:formatCode>0</c:formatCode>
                <c:ptCount val="29"/>
                <c:pt idx="0">
                  <c:v>1044.5703246779715</c:v>
                </c:pt>
                <c:pt idx="1">
                  <c:v>1014.2673933440637</c:v>
                </c:pt>
                <c:pt idx="2">
                  <c:v>985.1891178679665</c:v>
                </c:pt>
                <c:pt idx="3">
                  <c:v>957.25899055649541</c:v>
                </c:pt>
                <c:pt idx="4">
                  <c:v>930.40731980743863</c:v>
                </c:pt>
                <c:pt idx="5">
                  <c:v>904.57045433094811</c:v>
                </c:pt>
                <c:pt idx="6">
                  <c:v>879.69011327823705</c:v>
                </c:pt>
                <c:pt idx="7">
                  <c:v>855.71280555420208</c:v>
                </c:pt>
                <c:pt idx="8">
                  <c:v>832.58932457062724</c:v>
                </c:pt>
                <c:pt idx="9">
                  <c:v>810.27430708808276</c:v>
                </c:pt>
                <c:pt idx="10">
                  <c:v>788.72584672464495</c:v>
                </c:pt>
                <c:pt idx="11">
                  <c:v>767.90515427550497</c:v>
                </c:pt>
                <c:pt idx="12">
                  <c:v>747.77625826455892</c:v>
                </c:pt>
                <c:pt idx="13">
                  <c:v>728.30574019551318</c:v>
                </c:pt>
                <c:pt idx="14">
                  <c:v>709.46249983153598</c:v>
                </c:pt>
                <c:pt idx="15">
                  <c:v>691.21754654483027</c:v>
                </c:pt>
                <c:pt idx="16">
                  <c:v>673.5438133690144</c:v>
                </c:pt>
                <c:pt idx="17">
                  <c:v>656.41599088035764</c:v>
                </c:pt>
                <c:pt idx="18">
                  <c:v>639.81037844667208</c:v>
                </c:pt>
                <c:pt idx="19">
                  <c:v>623.70475072938632</c:v>
                </c:pt>
                <c:pt idx="20">
                  <c:v>608.07823761663803</c:v>
                </c:pt>
                <c:pt idx="21">
                  <c:v>592.91121601250006</c:v>
                </c:pt>
                <c:pt idx="22">
                  <c:v>578.18521211729364</c:v>
                </c:pt>
                <c:pt idx="23">
                  <c:v>563.88281301261884</c:v>
                </c:pt>
                <c:pt idx="24">
                  <c:v>549.98758651730952</c:v>
                </c:pt>
                <c:pt idx="25">
                  <c:v>536.48400841117257</c:v>
                </c:pt>
                <c:pt idx="26">
                  <c:v>523.3573962356229</c:v>
                </c:pt>
                <c:pt idx="27">
                  <c:v>510.59384897695941</c:v>
                </c:pt>
                <c:pt idx="28">
                  <c:v>498.18019202149549</c:v>
                </c:pt>
              </c:numCache>
            </c:numRef>
          </c:xVal>
          <c:yVal>
            <c:numRef>
              <c:f>'Left-Warrant 2-lane'!$AH$130:$AH$158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1-F322-4AD5-894E-B5B16C50893B}"/>
            </c:ext>
          </c:extLst>
        </c:ser>
        <c:ser>
          <c:idx val="7"/>
          <c:order val="2"/>
          <c:tx>
            <c:v>L = 3%</c:v>
          </c:tx>
          <c:spPr>
            <a:ln w="25400">
              <a:solidFill>
                <a:srgbClr val="000000"/>
              </a:solidFill>
              <a:prstDash val="solid"/>
            </a:ln>
          </c:spPr>
          <c:marker>
            <c:symbol val="none"/>
          </c:marker>
          <c:xVal>
            <c:numRef>
              <c:f>'Left-Warrant 2-lane'!$AC$130:$AC$158</c:f>
              <c:numCache>
                <c:formatCode>0</c:formatCode>
                <c:ptCount val="29"/>
                <c:pt idx="0">
                  <c:v>857.27315632730028</c:v>
                </c:pt>
                <c:pt idx="1">
                  <c:v>832.403706203301</c:v>
                </c:pt>
                <c:pt idx="2">
                  <c:v>808.539324448407</c:v>
                </c:pt>
                <c:pt idx="3">
                  <c:v>785.61722161697764</c:v>
                </c:pt>
                <c:pt idx="4">
                  <c:v>763.58020219197908</c:v>
                </c:pt>
                <c:pt idx="5">
                  <c:v>742.376027907722</c:v>
                </c:pt>
                <c:pt idx="6">
                  <c:v>721.95686799014254</c:v>
                </c:pt>
                <c:pt idx="7">
                  <c:v>702.27882258984721</c:v>
                </c:pt>
                <c:pt idx="8">
                  <c:v>683.30150812882732</c:v>
                </c:pt>
                <c:pt idx="9">
                  <c:v>664.9876952444173</c:v>
                </c:pt>
                <c:pt idx="10">
                  <c:v>647.30299159801302</c:v>
                </c:pt>
                <c:pt idx="11">
                  <c:v>630.21556310123208</c:v>
                </c:pt>
                <c:pt idx="12">
                  <c:v>613.69588816023895</c:v>
                </c:pt>
                <c:pt idx="13">
                  <c:v>597.7165403977757</c:v>
                </c:pt>
                <c:pt idx="14">
                  <c:v>582.2519960194536</c:v>
                </c:pt>
                <c:pt idx="15">
                  <c:v>567.27846257548924</c:v>
                </c:pt>
                <c:pt idx="16">
                  <c:v>552.77372635450843</c:v>
                </c:pt>
                <c:pt idx="17">
                  <c:v>538.71701605078511</c:v>
                </c:pt>
                <c:pt idx="18">
                  <c:v>525.08888068501915</c:v>
                </c:pt>
                <c:pt idx="19">
                  <c:v>511.87108004331839</c:v>
                </c:pt>
                <c:pt idx="20">
                  <c:v>499.04648613894386</c:v>
                </c:pt>
                <c:pt idx="21">
                  <c:v>486.59899440431877</c:v>
                </c:pt>
                <c:pt idx="22">
                  <c:v>474.51344349301593</c:v>
                </c:pt>
                <c:pt idx="23">
                  <c:v>462.77554271807554</c:v>
                </c:pt>
                <c:pt idx="24">
                  <c:v>451.37180627822516</c:v>
                </c:pt>
                <c:pt idx="25">
                  <c:v>440.28949353080043</c:v>
                </c:pt>
                <c:pt idx="26">
                  <c:v>429.51655466228817</c:v>
                </c:pt>
                <c:pt idx="27">
                  <c:v>419.04158118672018</c:v>
                </c:pt>
                <c:pt idx="28">
                  <c:v>408.85376077065041</c:v>
                </c:pt>
              </c:numCache>
            </c:numRef>
          </c:xVal>
          <c:yVal>
            <c:numRef>
              <c:f>'Left-Warrant 2-lane'!$AD$130:$AD$158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2-F322-4AD5-894E-B5B16C50893B}"/>
            </c:ext>
          </c:extLst>
        </c:ser>
        <c:ser>
          <c:idx val="6"/>
          <c:order val="3"/>
          <c:tx>
            <c:v>L = 4%</c:v>
          </c:tx>
          <c:spPr>
            <a:ln w="25400">
              <a:solidFill>
                <a:sysClr val="windowText" lastClr="000000"/>
              </a:solidFill>
            </a:ln>
          </c:spPr>
          <c:marker>
            <c:symbol val="none"/>
          </c:marker>
          <c:xVal>
            <c:numRef>
              <c:f>'Left-Warrant 2-lane'!$Y$130:$Y$158</c:f>
              <c:numCache>
                <c:formatCode>0</c:formatCode>
                <c:ptCount val="29"/>
                <c:pt idx="0">
                  <c:v>746.2770863083623</c:v>
                </c:pt>
                <c:pt idx="1">
                  <c:v>724.62762646041699</c:v>
                </c:pt>
                <c:pt idx="2">
                  <c:v>703.8531030180975</c:v>
                </c:pt>
                <c:pt idx="3">
                  <c:v>683.89885624524175</c:v>
                </c:pt>
                <c:pt idx="4">
                  <c:v>664.71509605629012</c:v>
                </c:pt>
                <c:pt idx="5">
                  <c:v>646.2563477732765</c:v>
                </c:pt>
                <c:pt idx="6">
                  <c:v>628.48097354665401</c:v>
                </c:pt>
                <c:pt idx="7">
                  <c:v>611.35075749219334</c:v>
                </c:pt>
                <c:pt idx="8">
                  <c:v>594.83054472523668</c:v>
                </c:pt>
                <c:pt idx="9">
                  <c:v>578.88792618212665</c:v>
                </c:pt>
                <c:pt idx="10">
                  <c:v>563.49296249749852</c:v>
                </c:pt>
                <c:pt idx="11">
                  <c:v>548.61794132488683</c:v>
                </c:pt>
                <c:pt idx="12">
                  <c:v>534.23716340044803</c:v>
                </c:pt>
                <c:pt idx="13">
                  <c:v>520.32675339721413</c:v>
                </c:pt>
                <c:pt idx="14">
                  <c:v>506.86449223277577</c:v>
                </c:pt>
                <c:pt idx="15">
                  <c:v>493.82966800221715</c:v>
                </c:pt>
                <c:pt idx="16">
                  <c:v>481.20294313071986</c:v>
                </c:pt>
                <c:pt idx="17">
                  <c:v>468.96623569258526</c:v>
                </c:pt>
                <c:pt idx="18">
                  <c:v>457.10261313830944</c:v>
                </c:pt>
                <c:pt idx="19">
                  <c:v>445.59619691905812</c:v>
                </c:pt>
                <c:pt idx="20">
                  <c:v>434.43207670672456</c:v>
                </c:pt>
                <c:pt idx="21">
                  <c:v>423.59623308441837</c:v>
                </c:pt>
                <c:pt idx="22">
                  <c:v>413.07546773214949</c:v>
                </c:pt>
                <c:pt idx="23">
                  <c:v>402.85734026012261</c:v>
                </c:pt>
                <c:pt idx="24">
                  <c:v>392.93011095106573</c:v>
                </c:pt>
                <c:pt idx="25">
                  <c:v>383.28268876635838</c:v>
                </c:pt>
                <c:pt idx="26">
                  <c:v>373.90458405092039</c:v>
                </c:pt>
                <c:pt idx="27">
                  <c:v>364.78586544086318</c:v>
                </c:pt>
                <c:pt idx="28">
                  <c:v>355.91712053753548</c:v>
                </c:pt>
              </c:numCache>
            </c:numRef>
          </c:xVal>
          <c:yVal>
            <c:numRef>
              <c:f>'Left-Warrant 2-lane'!$Z$130:$Z$158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3-F322-4AD5-894E-B5B16C50893B}"/>
            </c:ext>
          </c:extLst>
        </c:ser>
        <c:ser>
          <c:idx val="0"/>
          <c:order val="4"/>
          <c:tx>
            <c:v>L = 5%</c:v>
          </c:tx>
          <c:spPr>
            <a:ln w="25400">
              <a:solidFill>
                <a:srgbClr val="000000"/>
              </a:solidFill>
              <a:prstDash val="solid"/>
            </a:ln>
          </c:spPr>
          <c:marker>
            <c:symbol val="none"/>
          </c:marker>
          <c:xVal>
            <c:numRef>
              <c:f>'Left-Warrant 2-lane'!$A$130:$A$158</c:f>
              <c:numCache>
                <c:formatCode>0</c:formatCode>
                <c:ptCount val="29"/>
                <c:pt idx="0">
                  <c:v>670.99442932314184</c:v>
                </c:pt>
                <c:pt idx="1">
                  <c:v>651.52891547802835</c:v>
                </c:pt>
                <c:pt idx="2">
                  <c:v>632.8500765355185</c:v>
                </c:pt>
                <c:pt idx="3">
                  <c:v>614.90876670359239</c:v>
                </c:pt>
                <c:pt idx="4">
                  <c:v>597.66021860206479</c:v>
                </c:pt>
                <c:pt idx="5">
                  <c:v>581.06354493029346</c:v>
                </c:pt>
                <c:pt idx="6">
                  <c:v>565.08130816593223</c:v>
                </c:pt>
                <c:pt idx="7">
                  <c:v>549.67914755223285</c:v>
                </c:pt>
                <c:pt idx="8">
                  <c:v>534.82545454566423</c:v>
                </c:pt>
                <c:pt idx="9">
                  <c:v>520.49108943180568</c:v>
                </c:pt>
                <c:pt idx="10">
                  <c:v>506.64913305724093</c:v>
                </c:pt>
                <c:pt idx="11">
                  <c:v>493.27466863108538</c:v>
                </c:pt>
                <c:pt idx="12">
                  <c:v>480.3445893700902</c:v>
                </c:pt>
                <c:pt idx="13">
                  <c:v>467.83742843346982</c:v>
                </c:pt>
                <c:pt idx="14">
                  <c:v>455.73320814698644</c:v>
                </c:pt>
                <c:pt idx="15">
                  <c:v>444.01330597341598</c:v>
                </c:pt>
                <c:pt idx="16">
                  <c:v>432.66033506648154</c:v>
                </c:pt>
                <c:pt idx="17">
                  <c:v>421.65803756212983</c:v>
                </c:pt>
                <c:pt idx="18">
                  <c:v>410.99118902616635</c:v>
                </c:pt>
                <c:pt idx="19">
                  <c:v>400.64551269998628</c:v>
                </c:pt>
                <c:pt idx="20">
                  <c:v>390.60760237390878</c:v>
                </c:pt>
                <c:pt idx="21">
                  <c:v>380.86485287646565</c:v>
                </c:pt>
                <c:pt idx="22">
                  <c:v>371.40539730278692</c:v>
                </c:pt>
                <c:pt idx="23">
                  <c:v>362.21805022000274</c:v>
                </c:pt>
                <c:pt idx="24">
                  <c:v>353.29225618558945</c:v>
                </c:pt>
                <c:pt idx="25">
                  <c:v>344.61804299851542</c:v>
                </c:pt>
                <c:pt idx="26">
                  <c:v>336.1859791751491</c:v>
                </c:pt>
                <c:pt idx="27">
                  <c:v>327.98713520396296</c:v>
                </c:pt>
                <c:pt idx="28">
                  <c:v>320.01304818668854</c:v>
                </c:pt>
              </c:numCache>
            </c:numRef>
          </c:xVal>
          <c:yVal>
            <c:numRef>
              <c:f>'Left-Warrant 2-lane'!$B$130:$B$158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4-F322-4AD5-894E-B5B16C50893B}"/>
            </c:ext>
          </c:extLst>
        </c:ser>
        <c:ser>
          <c:idx val="1"/>
          <c:order val="5"/>
          <c:tx>
            <c:v>L = 10%</c:v>
          </c:tx>
          <c:spPr>
            <a:ln w="25400">
              <a:solidFill>
                <a:srgbClr val="000000"/>
              </a:solidFill>
              <a:prstDash val="solid"/>
            </a:ln>
          </c:spPr>
          <c:marker>
            <c:symbol val="none"/>
          </c:marker>
          <c:xVal>
            <c:numRef>
              <c:f>'Left-Warrant 2-lane'!$E$130:$E$158</c:f>
              <c:numCache>
                <c:formatCode>0</c:formatCode>
                <c:ptCount val="29"/>
                <c:pt idx="0">
                  <c:v>487.46615151638667</c:v>
                </c:pt>
                <c:pt idx="1">
                  <c:v>473.32478356056311</c:v>
                </c:pt>
                <c:pt idx="2">
                  <c:v>459.75492167171768</c:v>
                </c:pt>
                <c:pt idx="3">
                  <c:v>446.72086225969787</c:v>
                </c:pt>
                <c:pt idx="4">
                  <c:v>434.19008257680463</c:v>
                </c:pt>
                <c:pt idx="5">
                  <c:v>422.13287868777581</c:v>
                </c:pt>
                <c:pt idx="6">
                  <c:v>410.52205286317729</c:v>
                </c:pt>
                <c:pt idx="7">
                  <c:v>399.33264259196096</c:v>
                </c:pt>
                <c:pt idx="8">
                  <c:v>388.54168479962601</c:v>
                </c:pt>
                <c:pt idx="9">
                  <c:v>378.12800997443861</c:v>
                </c:pt>
                <c:pt idx="10">
                  <c:v>368.07206180483422</c:v>
                </c:pt>
                <c:pt idx="11">
                  <c:v>358.35573866190231</c:v>
                </c:pt>
                <c:pt idx="12">
                  <c:v>348.96225385679412</c:v>
                </c:pt>
                <c:pt idx="13">
                  <c:v>339.87601209123949</c:v>
                </c:pt>
                <c:pt idx="14">
                  <c:v>331.08249992138349</c:v>
                </c:pt>
                <c:pt idx="15">
                  <c:v>322.56818838758744</c:v>
                </c:pt>
                <c:pt idx="16">
                  <c:v>314.32044623887339</c:v>
                </c:pt>
                <c:pt idx="17">
                  <c:v>306.32746241083356</c:v>
                </c:pt>
                <c:pt idx="18">
                  <c:v>298.57817660844694</c:v>
                </c:pt>
                <c:pt idx="19">
                  <c:v>291.06221700704691</c:v>
                </c:pt>
                <c:pt idx="20">
                  <c:v>283.76984422109774</c:v>
                </c:pt>
                <c:pt idx="21">
                  <c:v>276.69190080583337</c:v>
                </c:pt>
                <c:pt idx="22">
                  <c:v>269.81976565473701</c:v>
                </c:pt>
                <c:pt idx="23">
                  <c:v>263.14531273922211</c:v>
                </c:pt>
                <c:pt idx="24">
                  <c:v>256.66087370807776</c:v>
                </c:pt>
                <c:pt idx="25">
                  <c:v>250.35920392521385</c:v>
                </c:pt>
                <c:pt idx="26">
                  <c:v>244.23345157662405</c:v>
                </c:pt>
                <c:pt idx="27">
                  <c:v>238.27712952258105</c:v>
                </c:pt>
                <c:pt idx="28">
                  <c:v>232.48408961003122</c:v>
                </c:pt>
              </c:numCache>
            </c:numRef>
          </c:xVal>
          <c:yVal>
            <c:numRef>
              <c:f>'Left-Warrant 2-lane'!$F$130:$F$158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5-F322-4AD5-894E-B5B16C50893B}"/>
            </c:ext>
          </c:extLst>
        </c:ser>
        <c:ser>
          <c:idx val="2"/>
          <c:order val="6"/>
          <c:tx>
            <c:v>L = 15%</c:v>
          </c:tx>
          <c:spPr>
            <a:ln w="25400">
              <a:solidFill>
                <a:srgbClr val="000000"/>
              </a:solidFill>
              <a:prstDash val="solid"/>
            </a:ln>
          </c:spPr>
          <c:marker>
            <c:symbol val="none"/>
          </c:marker>
          <c:xVal>
            <c:numRef>
              <c:f>'Left-Warrant 2-lane'!$I$130:$I$158</c:f>
              <c:numCache>
                <c:formatCode>0</c:formatCode>
                <c:ptCount val="29"/>
                <c:pt idx="0">
                  <c:v>409.55348616370594</c:v>
                </c:pt>
                <c:pt idx="1">
                  <c:v>397.67236061803499</c:v>
                </c:pt>
                <c:pt idx="2">
                  <c:v>386.27139621045836</c:v>
                </c:pt>
                <c:pt idx="3">
                  <c:v>375.32059592524485</c:v>
                </c:pt>
                <c:pt idx="4">
                  <c:v>364.79263518886597</c:v>
                </c:pt>
                <c:pt idx="5">
                  <c:v>354.66255770394264</c:v>
                </c:pt>
                <c:pt idx="6">
                  <c:v>344.90751280716063</c:v>
                </c:pt>
                <c:pt idx="7">
                  <c:v>335.50652779427907</c:v>
                </c:pt>
                <c:pt idx="8">
                  <c:v>326.44030982376296</c:v>
                </c:pt>
                <c:pt idx="9">
                  <c:v>317.69107294821066</c:v>
                </c:pt>
                <c:pt idx="10">
                  <c:v>309.24238657946171</c:v>
                </c:pt>
                <c:pt idx="11">
                  <c:v>301.07904230724483</c:v>
                </c:pt>
                <c:pt idx="12">
                  <c:v>293.18693649191727</c:v>
                </c:pt>
                <c:pt idx="13">
                  <c:v>285.55296646213549</c:v>
                </c:pt>
                <c:pt idx="14">
                  <c:v>278.16493848607109</c:v>
                </c:pt>
                <c:pt idx="15">
                  <c:v>271.01148596408035</c:v>
                </c:pt>
                <c:pt idx="16">
                  <c:v>264.08199652265472</c:v>
                </c:pt>
                <c:pt idx="17">
                  <c:v>257.36654688283744</c:v>
                </c:pt>
                <c:pt idx="18">
                  <c:v>250.85584453812365</c:v>
                </c:pt>
                <c:pt idx="19">
                  <c:v>244.54117541280391</c:v>
                </c:pt>
                <c:pt idx="20">
                  <c:v>238.41435678632044</c:v>
                </c:pt>
                <c:pt idx="21">
                  <c:v>232.4676948661573</c:v>
                </c:pt>
                <c:pt idx="22">
                  <c:v>226.69394647405986</c:v>
                </c:pt>
                <c:pt idx="23">
                  <c:v>221.08628438043291</c:v>
                </c:pt>
                <c:pt idx="24">
                  <c:v>215.63826588158975</c:v>
                </c:pt>
                <c:pt idx="25">
                  <c:v>210.34380426575049</c:v>
                </c:pt>
                <c:pt idx="26">
                  <c:v>205.19714285769959</c:v>
                </c:pt>
                <c:pt idx="27">
                  <c:v>200.19283136989964</c:v>
                </c:pt>
                <c:pt idx="28">
                  <c:v>195.32570432058594</c:v>
                </c:pt>
              </c:numCache>
            </c:numRef>
          </c:xVal>
          <c:yVal>
            <c:numRef>
              <c:f>'Left-Warrant 2-lane'!$J$130:$J$158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6-F322-4AD5-894E-B5B16C50893B}"/>
            </c:ext>
          </c:extLst>
        </c:ser>
        <c:ser>
          <c:idx val="3"/>
          <c:order val="7"/>
          <c:tx>
            <c:v>L = 20%</c:v>
          </c:tx>
          <c:spPr>
            <a:ln w="25400">
              <a:solidFill>
                <a:sysClr val="windowText" lastClr="000000"/>
              </a:solidFill>
            </a:ln>
          </c:spPr>
          <c:marker>
            <c:symbol val="none"/>
          </c:marker>
          <c:xVal>
            <c:numRef>
              <c:f>'Left-Warrant 2-lane'!$M$130:$M$158</c:f>
              <c:numCache>
                <c:formatCode>0</c:formatCode>
                <c:ptCount val="29"/>
                <c:pt idx="0">
                  <c:v>365.59961363729002</c:v>
                </c:pt>
                <c:pt idx="1">
                  <c:v>354.9935876704223</c:v>
                </c:pt>
                <c:pt idx="2">
                  <c:v>344.81619125378825</c:v>
                </c:pt>
                <c:pt idx="3">
                  <c:v>335.04064669477339</c:v>
                </c:pt>
                <c:pt idx="4">
                  <c:v>325.64256193260348</c:v>
                </c:pt>
                <c:pt idx="5">
                  <c:v>316.59965901583183</c:v>
                </c:pt>
                <c:pt idx="6">
                  <c:v>307.89153964738296</c:v>
                </c:pt>
                <c:pt idx="7">
                  <c:v>299.49948194397075</c:v>
                </c:pt>
                <c:pt idx="8">
                  <c:v>291.40626359971952</c:v>
                </c:pt>
                <c:pt idx="9">
                  <c:v>283.59600748082897</c:v>
                </c:pt>
                <c:pt idx="10">
                  <c:v>276.05404635362567</c:v>
                </c:pt>
                <c:pt idx="11">
                  <c:v>268.76680399642669</c:v>
                </c:pt>
                <c:pt idx="12">
                  <c:v>261.72169039259563</c:v>
                </c:pt>
                <c:pt idx="13">
                  <c:v>254.90700906842963</c:v>
                </c:pt>
                <c:pt idx="14">
                  <c:v>248.31187494103762</c:v>
                </c:pt>
                <c:pt idx="15">
                  <c:v>241.92614129069062</c:v>
                </c:pt>
                <c:pt idx="16">
                  <c:v>235.74033467915504</c:v>
                </c:pt>
                <c:pt idx="17">
                  <c:v>229.74559680812519</c:v>
                </c:pt>
                <c:pt idx="18">
                  <c:v>223.9336324563352</c:v>
                </c:pt>
                <c:pt idx="19">
                  <c:v>218.29666275528518</c:v>
                </c:pt>
                <c:pt idx="20">
                  <c:v>212.82738316582331</c:v>
                </c:pt>
                <c:pt idx="21">
                  <c:v>207.518925604375</c:v>
                </c:pt>
                <c:pt idx="22">
                  <c:v>202.36482424105276</c:v>
                </c:pt>
                <c:pt idx="23">
                  <c:v>197.35898455441657</c:v>
                </c:pt>
                <c:pt idx="24">
                  <c:v>192.4956552810583</c:v>
                </c:pt>
                <c:pt idx="25">
                  <c:v>187.76940294391039</c:v>
                </c:pt>
                <c:pt idx="26">
                  <c:v>183.17508868246802</c:v>
                </c:pt>
                <c:pt idx="27">
                  <c:v>178.70784714193576</c:v>
                </c:pt>
                <c:pt idx="28">
                  <c:v>174.36306720752341</c:v>
                </c:pt>
              </c:numCache>
            </c:numRef>
          </c:xVal>
          <c:yVal>
            <c:numRef>
              <c:f>'Left-Warrant 2-lane'!$N$130:$N$158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7-F322-4AD5-894E-B5B16C50893B}"/>
            </c:ext>
          </c:extLst>
        </c:ser>
        <c:ser>
          <c:idx val="4"/>
          <c:order val="8"/>
          <c:tx>
            <c:v>L = 30%</c:v>
          </c:tx>
          <c:spPr>
            <a:ln w="25400">
              <a:solidFill>
                <a:srgbClr val="000000"/>
              </a:solidFill>
              <a:prstDash val="solid"/>
            </a:ln>
          </c:spPr>
          <c:marker>
            <c:symbol val="none"/>
          </c:marker>
          <c:xVal>
            <c:numRef>
              <c:f>'Left-Warrant 2-lane'!$Q$130:$Q$158</c:f>
              <c:numCache>
                <c:formatCode>0</c:formatCode>
                <c:ptCount val="29"/>
                <c:pt idx="0">
                  <c:v>319.12150543609351</c:v>
                </c:pt>
                <c:pt idx="1">
                  <c:v>309.86380699498147</c:v>
                </c:pt>
                <c:pt idx="2">
                  <c:v>300.9802470984485</c:v>
                </c:pt>
                <c:pt idx="3">
                  <c:v>292.4474522601439</c:v>
                </c:pt>
                <c:pt idx="4">
                  <c:v>284.24413134390488</c:v>
                </c:pt>
                <c:pt idx="5">
                  <c:v>276.35083855947767</c:v>
                </c:pt>
                <c:pt idx="6">
                  <c:v>268.74976881345327</c:v>
                </c:pt>
                <c:pt idx="7">
                  <c:v>261.42458030634396</c:v>
                </c:pt>
                <c:pt idx="8">
                  <c:v>254.36024017713709</c:v>
                </c:pt>
                <c:pt idx="9">
                  <c:v>247.54288972726886</c:v>
                </c:pt>
                <c:pt idx="10">
                  <c:v>240.95972634558819</c:v>
                </c:pt>
                <c:pt idx="11">
                  <c:v>234.59889973428292</c:v>
                </c:pt>
                <c:pt idx="12">
                  <c:v>228.44942042587925</c:v>
                </c:pt>
                <c:pt idx="13">
                  <c:v>222.5010789011188</c:v>
                </c:pt>
                <c:pt idx="14">
                  <c:v>216.74437388070729</c:v>
                </c:pt>
                <c:pt idx="15">
                  <c:v>211.17044858155643</c:v>
                </c:pt>
                <c:pt idx="16">
                  <c:v>205.77103390884787</c:v>
                </c:pt>
                <c:pt idx="17">
                  <c:v>200.5383977059121</c:v>
                </c:pt>
                <c:pt idx="18">
                  <c:v>195.46529931001447</c:v>
                </c:pt>
                <c:pt idx="19">
                  <c:v>190.5449487680651</c:v>
                </c:pt>
                <c:pt idx="20">
                  <c:v>185.77097015557251</c:v>
                </c:pt>
                <c:pt idx="21">
                  <c:v>181.13736851770634</c:v>
                </c:pt>
                <c:pt idx="22">
                  <c:v>176.6385000154398</c:v>
                </c:pt>
                <c:pt idx="23">
                  <c:v>172.26904491433038</c:v>
                </c:pt>
                <c:pt idx="24">
                  <c:v>168.02398310010966</c:v>
                </c:pt>
                <c:pt idx="25">
                  <c:v>163.89857184516828</c:v>
                </c:pt>
                <c:pt idx="26">
                  <c:v>159.88832558431594</c:v>
                </c:pt>
                <c:pt idx="27">
                  <c:v>155.9889974877178</c:v>
                </c:pt>
                <c:pt idx="28">
                  <c:v>152.19656264440925</c:v>
                </c:pt>
              </c:numCache>
            </c:numRef>
          </c:xVal>
          <c:yVal>
            <c:numRef>
              <c:f>'Left-Warrant 2-lane'!$R$130:$R$158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8-F322-4AD5-894E-B5B16C50893B}"/>
            </c:ext>
          </c:extLst>
        </c:ser>
        <c:ser>
          <c:idx val="5"/>
          <c:order val="9"/>
          <c:tx>
            <c:v>L = 40%</c:v>
          </c:tx>
          <c:spPr>
            <a:ln w="25400">
              <a:solidFill>
                <a:sysClr val="windowText" lastClr="000000"/>
              </a:solidFill>
            </a:ln>
          </c:spPr>
          <c:marker>
            <c:symbol val="none"/>
          </c:marker>
          <c:xVal>
            <c:numRef>
              <c:f>'Left-Warrant 2-lane'!$U$130:$U$158</c:f>
              <c:numCache>
                <c:formatCode>0</c:formatCode>
                <c:ptCount val="29"/>
                <c:pt idx="0">
                  <c:v>298.51083452334495</c:v>
                </c:pt>
                <c:pt idx="1">
                  <c:v>289.85105058416684</c:v>
                </c:pt>
                <c:pt idx="2">
                  <c:v>281.54124120723895</c:v>
                </c:pt>
                <c:pt idx="3">
                  <c:v>273.55954249809673</c:v>
                </c:pt>
                <c:pt idx="4">
                  <c:v>265.88603842251604</c:v>
                </c:pt>
                <c:pt idx="5">
                  <c:v>258.50253910931065</c:v>
                </c:pt>
                <c:pt idx="6">
                  <c:v>251.39238941866159</c:v>
                </c:pt>
                <c:pt idx="7">
                  <c:v>244.54030299687733</c:v>
                </c:pt>
                <c:pt idx="8">
                  <c:v>237.93221789009468</c:v>
                </c:pt>
                <c:pt idx="9">
                  <c:v>231.55517047285068</c:v>
                </c:pt>
                <c:pt idx="10">
                  <c:v>225.39718499899936</c:v>
                </c:pt>
                <c:pt idx="11">
                  <c:v>219.44717652995473</c:v>
                </c:pt>
                <c:pt idx="12">
                  <c:v>213.69486536017922</c:v>
                </c:pt>
                <c:pt idx="13">
                  <c:v>208.13070135888566</c:v>
                </c:pt>
                <c:pt idx="14">
                  <c:v>202.74579689311031</c:v>
                </c:pt>
                <c:pt idx="15">
                  <c:v>197.53186720088686</c:v>
                </c:pt>
                <c:pt idx="16">
                  <c:v>192.48117725228792</c:v>
                </c:pt>
                <c:pt idx="17">
                  <c:v>187.58649427703409</c:v>
                </c:pt>
                <c:pt idx="18">
                  <c:v>182.84104525532376</c:v>
                </c:pt>
                <c:pt idx="19">
                  <c:v>178.23847876762323</c:v>
                </c:pt>
                <c:pt idx="20">
                  <c:v>173.7728306826898</c:v>
                </c:pt>
                <c:pt idx="21">
                  <c:v>169.43849323376733</c:v>
                </c:pt>
                <c:pt idx="22">
                  <c:v>165.23018709285978</c:v>
                </c:pt>
                <c:pt idx="23">
                  <c:v>161.14293610404903</c:v>
                </c:pt>
                <c:pt idx="24">
                  <c:v>157.17204438042629</c:v>
                </c:pt>
                <c:pt idx="25">
                  <c:v>153.31307550654333</c:v>
                </c:pt>
                <c:pt idx="26">
                  <c:v>149.56183362036816</c:v>
                </c:pt>
                <c:pt idx="27">
                  <c:v>145.91434617634525</c:v>
                </c:pt>
                <c:pt idx="28">
                  <c:v>142.36684821501419</c:v>
                </c:pt>
              </c:numCache>
            </c:numRef>
          </c:xVal>
          <c:yVal>
            <c:numRef>
              <c:f>'Left-Warrant 2-lane'!$V$130:$V$158</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9-F322-4AD5-894E-B5B16C50893B}"/>
            </c:ext>
          </c:extLst>
        </c:ser>
        <c:ser>
          <c:idx val="14"/>
          <c:order val="10"/>
          <c:tx>
            <c:v>Volume Data Point</c:v>
          </c:tx>
          <c:spPr>
            <a:ln w="28575">
              <a:noFill/>
            </a:ln>
          </c:spPr>
          <c:marker>
            <c:symbol val="circle"/>
            <c:size val="4"/>
            <c:spPr>
              <a:solidFill>
                <a:srgbClr val="FF0000"/>
              </a:solidFill>
              <a:ln>
                <a:noFill/>
                <a:prstDash val="solid"/>
              </a:ln>
            </c:spPr>
          </c:marker>
          <c:dLbls>
            <c:spPr>
              <a:solidFill>
                <a:schemeClr val="bg1">
                  <a:lumMod val="75000"/>
                </a:schemeClr>
              </a:solidFill>
              <a:ln>
                <a:solidFill>
                  <a:schemeClr val="tx1"/>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'Inputs&amp;Findings'!$BP$5</c:f>
              <c:numCache>
                <c:formatCode>0</c:formatCode>
                <c:ptCount val="1"/>
                <c:pt idx="0">
                  <c:v>0</c:v>
                </c:pt>
              </c:numCache>
            </c:numRef>
          </c:xVal>
          <c:yVal>
            <c:numRef>
              <c:f>'Inputs&amp;Findings'!$BP$6</c:f>
              <c:numCache>
                <c:formatCode>0</c:formatCode>
                <c:ptCount val="1"/>
                <c:pt idx="0">
                  <c:v>0</c:v>
                </c:pt>
              </c:numCache>
            </c:numRef>
          </c:yVal>
          <c:smooth val="1"/>
          <c:extLst>
            <c:ext xmlns:c16="http://schemas.microsoft.com/office/drawing/2014/chart" uri="{C3380CC4-5D6E-409C-BE32-E72D297353CC}">
              <c16:uniqueId val="{0000000A-F322-4AD5-894E-B5B16C50893B}"/>
            </c:ext>
          </c:extLst>
        </c:ser>
        <c:ser>
          <c:idx val="10"/>
          <c:order val="11"/>
          <c:tx>
            <c:v>Graph Line X</c:v>
          </c:tx>
          <c:spPr>
            <a:ln w="19050">
              <a:solidFill>
                <a:srgbClr val="FF0000"/>
              </a:solidFill>
              <a:prstDash val="sysDash"/>
            </a:ln>
          </c:spPr>
          <c:marker>
            <c:symbol val="none"/>
          </c:marker>
          <c:xVal>
            <c:numRef>
              <c:f>'Inputs&amp;Findings'!$BN$25:$BN$26</c:f>
              <c:numCache>
                <c:formatCode>0</c:formatCode>
                <c:ptCount val="2"/>
                <c:pt idx="0">
                  <c:v>0</c:v>
                </c:pt>
                <c:pt idx="1">
                  <c:v>0</c:v>
                </c:pt>
              </c:numCache>
            </c:numRef>
          </c:xVal>
          <c:yVal>
            <c:numRef>
              <c:f>'Inputs&amp;Findings'!$BO$25:$BO$26</c:f>
              <c:numCache>
                <c:formatCode>0</c:formatCode>
                <c:ptCount val="2"/>
                <c:pt idx="0">
                  <c:v>0</c:v>
                </c:pt>
                <c:pt idx="1">
                  <c:v>0</c:v>
                </c:pt>
              </c:numCache>
            </c:numRef>
          </c:yVal>
          <c:smooth val="1"/>
          <c:extLst>
            <c:ext xmlns:c16="http://schemas.microsoft.com/office/drawing/2014/chart" uri="{C3380CC4-5D6E-409C-BE32-E72D297353CC}">
              <c16:uniqueId val="{0000000B-F322-4AD5-894E-B5B16C50893B}"/>
            </c:ext>
          </c:extLst>
        </c:ser>
        <c:ser>
          <c:idx val="11"/>
          <c:order val="12"/>
          <c:tx>
            <c:v>Graph Line Y</c:v>
          </c:tx>
          <c:spPr>
            <a:ln w="19050">
              <a:solidFill>
                <a:srgbClr val="FF0000"/>
              </a:solidFill>
              <a:prstDash val="sysDash"/>
            </a:ln>
          </c:spPr>
          <c:marker>
            <c:symbol val="none"/>
          </c:marker>
          <c:xVal>
            <c:numRef>
              <c:f>'Inputs&amp;Findings'!$BP$25:$BP$26</c:f>
              <c:numCache>
                <c:formatCode>0</c:formatCode>
                <c:ptCount val="2"/>
                <c:pt idx="0">
                  <c:v>0</c:v>
                </c:pt>
                <c:pt idx="1">
                  <c:v>0</c:v>
                </c:pt>
              </c:numCache>
            </c:numRef>
          </c:xVal>
          <c:yVal>
            <c:numRef>
              <c:f>'Inputs&amp;Findings'!$BQ$25:$BQ$26</c:f>
              <c:numCache>
                <c:formatCode>0</c:formatCode>
                <c:ptCount val="2"/>
                <c:pt idx="0" formatCode="General">
                  <c:v>0</c:v>
                </c:pt>
                <c:pt idx="1">
                  <c:v>0</c:v>
                </c:pt>
              </c:numCache>
            </c:numRef>
          </c:yVal>
          <c:smooth val="1"/>
          <c:extLst>
            <c:ext xmlns:c16="http://schemas.microsoft.com/office/drawing/2014/chart" uri="{C3380CC4-5D6E-409C-BE32-E72D297353CC}">
              <c16:uniqueId val="{0000000C-F322-4AD5-894E-B5B16C50893B}"/>
            </c:ext>
          </c:extLst>
        </c:ser>
        <c:ser>
          <c:idx val="12"/>
          <c:order val="13"/>
          <c:tx>
            <c:strRef>
              <c:f>'Inputs&amp;Findings'!$BH$24</c:f>
              <c:strCache>
                <c:ptCount val="1"/>
                <c:pt idx="0">
                  <c:v>N/A</c:v>
                </c:pt>
              </c:strCache>
            </c:strRef>
          </c:tx>
          <c:spPr>
            <a:ln w="19050">
              <a:solidFill>
                <a:srgbClr val="FF0000"/>
              </a:solidFill>
            </a:ln>
          </c:spPr>
          <c:marker>
            <c:symbol val="none"/>
          </c:marker>
          <c:xVal>
            <c:numRef>
              <c:f>'Inputs&amp;Findings'!$BH$27:$BH$34</c:f>
              <c:numCache>
                <c:formatCode>0</c:formatCode>
                <c:ptCount val="8"/>
                <c:pt idx="0">
                  <c:v>0</c:v>
                </c:pt>
                <c:pt idx="1">
                  <c:v>0</c:v>
                </c:pt>
                <c:pt idx="2">
                  <c:v>0</c:v>
                </c:pt>
                <c:pt idx="3">
                  <c:v>0</c:v>
                </c:pt>
                <c:pt idx="4">
                  <c:v>0</c:v>
                </c:pt>
                <c:pt idx="5">
                  <c:v>0</c:v>
                </c:pt>
                <c:pt idx="6">
                  <c:v>0</c:v>
                </c:pt>
                <c:pt idx="7">
                  <c:v>0</c:v>
                </c:pt>
              </c:numCache>
            </c:numRef>
          </c:xVal>
          <c:yVal>
            <c:numRef>
              <c:f>'Inputs&amp;Findings'!$BE$27:$BE$34</c:f>
              <c:numCache>
                <c:formatCode>0</c:formatCode>
                <c:ptCount val="8"/>
                <c:pt idx="0">
                  <c:v>100</c:v>
                </c:pt>
                <c:pt idx="1">
                  <c:v>200</c:v>
                </c:pt>
                <c:pt idx="2">
                  <c:v>300</c:v>
                </c:pt>
                <c:pt idx="3">
                  <c:v>400</c:v>
                </c:pt>
                <c:pt idx="4">
                  <c:v>500</c:v>
                </c:pt>
                <c:pt idx="5">
                  <c:v>600</c:v>
                </c:pt>
                <c:pt idx="6">
                  <c:v>700</c:v>
                </c:pt>
                <c:pt idx="7">
                  <c:v>800</c:v>
                </c:pt>
              </c:numCache>
            </c:numRef>
          </c:yVal>
          <c:smooth val="1"/>
          <c:extLst>
            <c:ext xmlns:c16="http://schemas.microsoft.com/office/drawing/2014/chart" uri="{C3380CC4-5D6E-409C-BE32-E72D297353CC}">
              <c16:uniqueId val="{0000000D-F322-4AD5-894E-B5B16C50893B}"/>
            </c:ext>
          </c:extLst>
        </c:ser>
        <c:dLbls>
          <c:showLegendKey val="0"/>
          <c:showVal val="0"/>
          <c:showCatName val="0"/>
          <c:showSerName val="0"/>
          <c:showPercent val="0"/>
          <c:showBubbleSize val="0"/>
        </c:dLbls>
        <c:axId val="490292832"/>
        <c:axId val="490293224"/>
      </c:scatterChart>
      <c:valAx>
        <c:axId val="490292832"/>
        <c:scaling>
          <c:orientation val="minMax"/>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(VPH)</a:t>
                </a:r>
              </a:p>
            </c:rich>
          </c:tx>
          <c:layout>
            <c:manualLayout>
              <c:xMode val="edge"/>
              <c:yMode val="edge"/>
              <c:x val="0.43618196554862326"/>
              <c:y val="0.9445351409633525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3224"/>
        <c:crosses val="autoZero"/>
        <c:crossBetween val="midCat"/>
      </c:valAx>
      <c:valAx>
        <c:axId val="490293224"/>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Opposing Volume (VPH)</a:t>
                </a:r>
              </a:p>
            </c:rich>
          </c:tx>
          <c:layout>
            <c:manualLayout>
              <c:xMode val="edge"/>
              <c:yMode val="edge"/>
              <c:x val="1.220867458457325E-2"/>
              <c:y val="0.39314853237453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2832"/>
        <c:crosses val="autoZero"/>
        <c:crossBetween val="midCat"/>
      </c:valAx>
      <c:spPr>
        <a:noFill/>
        <a:ln w="12700">
          <a:solidFill>
            <a:srgbClr val="808080"/>
          </a:solidFill>
          <a:prstDash val="solid"/>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1"/>
        <c:delete val="1"/>
      </c:legendEntry>
      <c:legendEntry>
        <c:idx val="12"/>
        <c:delete val="1"/>
      </c:legendEntry>
      <c:layout>
        <c:manualLayout>
          <c:xMode val="edge"/>
          <c:yMode val="edge"/>
          <c:x val="0.81828316610925256"/>
          <c:y val="0.41571194762684138"/>
          <c:w val="0.16851727982162831"/>
          <c:h val="7.4471263923433798E-2"/>
        </c:manualLayout>
      </c:layout>
      <c:overlay val="0"/>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Figure 4. Warrant for left turn storage lanes on two-lane highways</a:t>
            </a:r>
          </a:p>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 (50 mph speed, unsignalized and signalized intersections)</a:t>
            </a:r>
          </a:p>
          <a:p>
            <a:pPr>
              <a:defRPr sz="1000" b="0" i="0" u="none" strike="noStrike" baseline="0">
                <a:solidFill>
                  <a:srgbClr val="000000"/>
                </a:solidFill>
                <a:latin typeface="Arial"/>
                <a:ea typeface="Arial"/>
                <a:cs typeface="Arial"/>
              </a:defRPr>
            </a:pPr>
            <a:r>
              <a:rPr lang="en-US" sz="900" b="0" i="0" u="none" strike="noStrike" baseline="0">
                <a:solidFill>
                  <a:srgbClr val="000000"/>
                </a:solidFill>
                <a:latin typeface="Arial"/>
                <a:cs typeface="Arial"/>
              </a:rPr>
              <a:t>(L = % Left Turns in Advancing Volume)</a:t>
            </a:r>
          </a:p>
        </c:rich>
      </c:tx>
      <c:overlay val="1"/>
      <c:spPr>
        <a:noFill/>
        <a:ln w="25400">
          <a:noFill/>
        </a:ln>
      </c:spPr>
    </c:title>
    <c:autoTitleDeleted val="0"/>
    <c:plotArea>
      <c:layout>
        <c:manualLayout>
          <c:layoutTarget val="inner"/>
          <c:xMode val="edge"/>
          <c:yMode val="edge"/>
          <c:x val="7.6923076923076927E-2"/>
          <c:y val="0.18003273322422333"/>
          <c:w val="0.71348940914158365"/>
          <c:h val="0.71358428805237317"/>
        </c:manualLayout>
      </c:layout>
      <c:scatterChart>
        <c:scatterStyle val="smoothMarker"/>
        <c:varyColors val="0"/>
        <c:ser>
          <c:idx val="8"/>
          <c:order val="0"/>
          <c:tx>
            <c:v>L = 2%</c:v>
          </c:tx>
          <c:spPr>
            <a:ln w="25400">
              <a:solidFill>
                <a:srgbClr val="000000"/>
              </a:solidFill>
            </a:ln>
          </c:spPr>
          <c:marker>
            <c:symbol val="none"/>
          </c:marker>
          <c:xVal>
            <c:numRef>
              <c:f>'Left-Warrant 2-lane'!$AG$34:$AG$62</c:f>
              <c:numCache>
                <c:formatCode>General</c:formatCode>
                <c:ptCount val="29"/>
                <c:pt idx="0">
                  <c:v>954</c:v>
                </c:pt>
                <c:pt idx="1">
                  <c:v>926</c:v>
                </c:pt>
                <c:pt idx="2">
                  <c:v>899</c:v>
                </c:pt>
                <c:pt idx="3">
                  <c:v>874</c:v>
                </c:pt>
                <c:pt idx="4">
                  <c:v>849</c:v>
                </c:pt>
                <c:pt idx="5">
                  <c:v>826</c:v>
                </c:pt>
                <c:pt idx="6">
                  <c:v>803</c:v>
                </c:pt>
                <c:pt idx="7">
                  <c:v>781</c:v>
                </c:pt>
                <c:pt idx="8">
                  <c:v>760</c:v>
                </c:pt>
                <c:pt idx="9">
                  <c:v>740</c:v>
                </c:pt>
                <c:pt idx="10">
                  <c:v>720</c:v>
                </c:pt>
                <c:pt idx="11">
                  <c:v>701</c:v>
                </c:pt>
                <c:pt idx="12">
                  <c:v>683</c:v>
                </c:pt>
                <c:pt idx="13">
                  <c:v>665</c:v>
                </c:pt>
                <c:pt idx="14">
                  <c:v>648</c:v>
                </c:pt>
                <c:pt idx="15">
                  <c:v>631</c:v>
                </c:pt>
                <c:pt idx="16">
                  <c:v>615</c:v>
                </c:pt>
                <c:pt idx="17">
                  <c:v>599</c:v>
                </c:pt>
                <c:pt idx="18">
                  <c:v>584</c:v>
                </c:pt>
                <c:pt idx="19">
                  <c:v>569</c:v>
                </c:pt>
                <c:pt idx="20">
                  <c:v>555</c:v>
                </c:pt>
                <c:pt idx="21">
                  <c:v>541</c:v>
                </c:pt>
                <c:pt idx="22">
                  <c:v>528</c:v>
                </c:pt>
                <c:pt idx="23">
                  <c:v>515</c:v>
                </c:pt>
                <c:pt idx="24">
                  <c:v>502</c:v>
                </c:pt>
                <c:pt idx="25">
                  <c:v>490</c:v>
                </c:pt>
                <c:pt idx="26">
                  <c:v>478</c:v>
                </c:pt>
                <c:pt idx="27">
                  <c:v>466</c:v>
                </c:pt>
                <c:pt idx="28">
                  <c:v>455</c:v>
                </c:pt>
              </c:numCache>
            </c:numRef>
          </c:xVal>
          <c:yVal>
            <c:numRef>
              <c:f>'Left-Warrant 2-lane'!$AH$34:$AH$62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0-59AD-4278-81B0-1205C748B1FD}"/>
            </c:ext>
          </c:extLst>
        </c:ser>
        <c:ser>
          <c:idx val="7"/>
          <c:order val="1"/>
          <c:tx>
            <c:v>L = 3%</c:v>
          </c:tx>
          <c:spPr>
            <a:ln w="25400">
              <a:solidFill>
                <a:srgbClr val="000000"/>
              </a:solidFill>
              <a:prstDash val="solid"/>
            </a:ln>
          </c:spPr>
          <c:marker>
            <c:symbol val="none"/>
          </c:marker>
          <c:xVal>
            <c:numRef>
              <c:f>'Left-Warrant 2-lane'!$AC$34:$AC$62</c:f>
              <c:numCache>
                <c:formatCode>General</c:formatCode>
                <c:ptCount val="29"/>
                <c:pt idx="0">
                  <c:v>783</c:v>
                </c:pt>
                <c:pt idx="1">
                  <c:v>760</c:v>
                </c:pt>
                <c:pt idx="2">
                  <c:v>738</c:v>
                </c:pt>
                <c:pt idx="3">
                  <c:v>717</c:v>
                </c:pt>
                <c:pt idx="4">
                  <c:v>697</c:v>
                </c:pt>
                <c:pt idx="5">
                  <c:v>678</c:v>
                </c:pt>
                <c:pt idx="6">
                  <c:v>659</c:v>
                </c:pt>
                <c:pt idx="7">
                  <c:v>641</c:v>
                </c:pt>
                <c:pt idx="8">
                  <c:v>624</c:v>
                </c:pt>
                <c:pt idx="9">
                  <c:v>607</c:v>
                </c:pt>
                <c:pt idx="10">
                  <c:v>591</c:v>
                </c:pt>
                <c:pt idx="11">
                  <c:v>575</c:v>
                </c:pt>
                <c:pt idx="12">
                  <c:v>560</c:v>
                </c:pt>
                <c:pt idx="13">
                  <c:v>546</c:v>
                </c:pt>
                <c:pt idx="14">
                  <c:v>532</c:v>
                </c:pt>
                <c:pt idx="15">
                  <c:v>518</c:v>
                </c:pt>
                <c:pt idx="16">
                  <c:v>505</c:v>
                </c:pt>
                <c:pt idx="17">
                  <c:v>492</c:v>
                </c:pt>
                <c:pt idx="18">
                  <c:v>479</c:v>
                </c:pt>
                <c:pt idx="19">
                  <c:v>467</c:v>
                </c:pt>
                <c:pt idx="20">
                  <c:v>456</c:v>
                </c:pt>
                <c:pt idx="21">
                  <c:v>444</c:v>
                </c:pt>
                <c:pt idx="22">
                  <c:v>433</c:v>
                </c:pt>
                <c:pt idx="23">
                  <c:v>422</c:v>
                </c:pt>
                <c:pt idx="24">
                  <c:v>412</c:v>
                </c:pt>
                <c:pt idx="25">
                  <c:v>402</c:v>
                </c:pt>
                <c:pt idx="26">
                  <c:v>392</c:v>
                </c:pt>
                <c:pt idx="27">
                  <c:v>383</c:v>
                </c:pt>
                <c:pt idx="28">
                  <c:v>373</c:v>
                </c:pt>
              </c:numCache>
            </c:numRef>
          </c:xVal>
          <c:yVal>
            <c:numRef>
              <c:f>'Left-Warrant 2-lane'!$AD$34:$AD$62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1-59AD-4278-81B0-1205C748B1FD}"/>
            </c:ext>
          </c:extLst>
        </c:ser>
        <c:ser>
          <c:idx val="6"/>
          <c:order val="2"/>
          <c:tx>
            <c:v>L = 4%</c:v>
          </c:tx>
          <c:spPr>
            <a:ln w="25400">
              <a:solidFill>
                <a:srgbClr val="000000"/>
              </a:solidFill>
            </a:ln>
          </c:spPr>
          <c:marker>
            <c:symbol val="none"/>
          </c:marker>
          <c:xVal>
            <c:numRef>
              <c:f>'Left-Warrant 2-lane'!$Y$34:$Y$62</c:f>
              <c:numCache>
                <c:formatCode>General</c:formatCode>
                <c:ptCount val="29"/>
                <c:pt idx="0">
                  <c:v>681</c:v>
                </c:pt>
                <c:pt idx="1">
                  <c:v>661</c:v>
                </c:pt>
                <c:pt idx="2">
                  <c:v>643</c:v>
                </c:pt>
                <c:pt idx="3">
                  <c:v>624</c:v>
                </c:pt>
                <c:pt idx="4">
                  <c:v>607</c:v>
                </c:pt>
                <c:pt idx="5">
                  <c:v>590</c:v>
                </c:pt>
                <c:pt idx="6">
                  <c:v>574</c:v>
                </c:pt>
                <c:pt idx="7">
                  <c:v>558</c:v>
                </c:pt>
                <c:pt idx="8">
                  <c:v>543</c:v>
                </c:pt>
                <c:pt idx="9">
                  <c:v>528</c:v>
                </c:pt>
                <c:pt idx="10">
                  <c:v>514</c:v>
                </c:pt>
                <c:pt idx="11">
                  <c:v>501</c:v>
                </c:pt>
                <c:pt idx="12">
                  <c:v>488</c:v>
                </c:pt>
                <c:pt idx="13">
                  <c:v>475</c:v>
                </c:pt>
                <c:pt idx="14">
                  <c:v>463</c:v>
                </c:pt>
                <c:pt idx="15">
                  <c:v>451</c:v>
                </c:pt>
                <c:pt idx="16">
                  <c:v>439</c:v>
                </c:pt>
                <c:pt idx="17">
                  <c:v>428</c:v>
                </c:pt>
                <c:pt idx="18">
                  <c:v>417</c:v>
                </c:pt>
                <c:pt idx="19">
                  <c:v>407</c:v>
                </c:pt>
                <c:pt idx="20">
                  <c:v>397</c:v>
                </c:pt>
                <c:pt idx="21">
                  <c:v>387</c:v>
                </c:pt>
                <c:pt idx="22">
                  <c:v>377</c:v>
                </c:pt>
                <c:pt idx="23">
                  <c:v>368</c:v>
                </c:pt>
                <c:pt idx="24">
                  <c:v>359</c:v>
                </c:pt>
                <c:pt idx="25">
                  <c:v>350</c:v>
                </c:pt>
                <c:pt idx="26">
                  <c:v>341</c:v>
                </c:pt>
                <c:pt idx="27">
                  <c:v>333</c:v>
                </c:pt>
                <c:pt idx="28">
                  <c:v>325</c:v>
                </c:pt>
              </c:numCache>
            </c:numRef>
          </c:xVal>
          <c:yVal>
            <c:numRef>
              <c:f>'Left-Warrant 2-lane'!$Z$34:$Z$62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2-59AD-4278-81B0-1205C748B1FD}"/>
            </c:ext>
          </c:extLst>
        </c:ser>
        <c:ser>
          <c:idx val="0"/>
          <c:order val="3"/>
          <c:tx>
            <c:v>L = 5%</c:v>
          </c:tx>
          <c:spPr>
            <a:ln w="25400">
              <a:solidFill>
                <a:srgbClr val="000000"/>
              </a:solidFill>
              <a:prstDash val="solid"/>
            </a:ln>
          </c:spPr>
          <c:marker>
            <c:symbol val="none"/>
          </c:marker>
          <c:xVal>
            <c:numRef>
              <c:f>'Left-Warrant 2-lane'!$A$34:$A$62</c:f>
              <c:numCache>
                <c:formatCode>0</c:formatCode>
                <c:ptCount val="29"/>
                <c:pt idx="0">
                  <c:v>612.5313081676511</c:v>
                </c:pt>
                <c:pt idx="1">
                  <c:v>594.76180645698821</c:v>
                </c:pt>
                <c:pt idx="2">
                  <c:v>577.7104373956239</c:v>
                </c:pt>
                <c:pt idx="3">
                  <c:v>561.33233721873194</c:v>
                </c:pt>
                <c:pt idx="4">
                  <c:v>545.58663908636595</c:v>
                </c:pt>
                <c:pt idx="5">
                  <c:v>530.43601817039735</c:v>
                </c:pt>
                <c:pt idx="6">
                  <c:v>515.84629884501555</c:v>
                </c:pt>
                <c:pt idx="7">
                  <c:v>501.78611417428101</c:v>
                </c:pt>
                <c:pt idx="8">
                  <c:v>488.22660963769033</c:v>
                </c:pt>
                <c:pt idx="9">
                  <c:v>475.14118443706457</c:v>
                </c:pt>
                <c:pt idx="10">
                  <c:v>462.50526485981203</c:v>
                </c:pt>
                <c:pt idx="11">
                  <c:v>450.29610509188569</c:v>
                </c:pt>
                <c:pt idx="12">
                  <c:v>438.49261162259108</c:v>
                </c:pt>
                <c:pt idx="13">
                  <c:v>427.07518799703371</c:v>
                </c:pt>
                <c:pt idx="14">
                  <c:v>416.02559717716935</c:v>
                </c:pt>
                <c:pt idx="15">
                  <c:v>405.3268391901388</c:v>
                </c:pt>
                <c:pt idx="16">
                  <c:v>394.96304208942564</c:v>
                </c:pt>
                <c:pt idx="17">
                  <c:v>384.91936454356528</c:v>
                </c:pt>
                <c:pt idx="18">
                  <c:v>375.18190860916837</c:v>
                </c:pt>
                <c:pt idx="19">
                  <c:v>365.73764144834166</c:v>
                </c:pt>
                <c:pt idx="20">
                  <c:v>356.57432492199723</c:v>
                </c:pt>
                <c:pt idx="21">
                  <c:v>347.68045213554433</c:v>
                </c:pt>
                <c:pt idx="22">
                  <c:v>339.04519013650798</c:v>
                </c:pt>
                <c:pt idx="23">
                  <c:v>330.65832806839103</c:v>
                </c:pt>
                <c:pt idx="24">
                  <c:v>322.51023017456902</c:v>
                </c:pt>
                <c:pt idx="25">
                  <c:v>314.59179312262029</c:v>
                </c:pt>
                <c:pt idx="26">
                  <c:v>306.89440718531864</c:v>
                </c:pt>
                <c:pt idx="27">
                  <c:v>299.40992087117883</c:v>
                </c:pt>
                <c:pt idx="28">
                  <c:v>292.13060864639505</c:v>
                </c:pt>
              </c:numCache>
            </c:numRef>
          </c:xVal>
          <c:yVal>
            <c:numRef>
              <c:f>'Left-Warrant 2-lane'!$B$34:$B$62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3-59AD-4278-81B0-1205C748B1FD}"/>
            </c:ext>
          </c:extLst>
        </c:ser>
        <c:ser>
          <c:idx val="1"/>
          <c:order val="4"/>
          <c:tx>
            <c:v>L = 10%</c:v>
          </c:tx>
          <c:spPr>
            <a:ln w="25400">
              <a:solidFill>
                <a:srgbClr val="000000"/>
              </a:solidFill>
              <a:prstDash val="solid"/>
            </a:ln>
          </c:spPr>
          <c:marker>
            <c:symbol val="none"/>
          </c:marker>
          <c:xVal>
            <c:numRef>
              <c:f>'Left-Warrant 2-lane'!$E$34:$E$62</c:f>
              <c:numCache>
                <c:formatCode>0</c:formatCode>
                <c:ptCount val="29"/>
                <c:pt idx="0">
                  <c:v>444.99367867626023</c:v>
                </c:pt>
                <c:pt idx="1">
                  <c:v>432.08443497061808</c:v>
                </c:pt>
                <c:pt idx="2">
                  <c:v>419.69690253936756</c:v>
                </c:pt>
                <c:pt idx="3">
                  <c:v>407.79848861299126</c:v>
                </c:pt>
                <c:pt idx="4">
                  <c:v>396.35950412057787</c:v>
                </c:pt>
                <c:pt idx="5">
                  <c:v>385.35283320314437</c:v>
                </c:pt>
                <c:pt idx="6">
                  <c:v>374.75364784415081</c:v>
                </c:pt>
                <c:pt idx="7">
                  <c:v>364.53916049294219</c:v>
                </c:pt>
                <c:pt idx="8">
                  <c:v>354.68840882636221</c:v>
                </c:pt>
                <c:pt idx="9">
                  <c:v>345.18206781256418</c:v>
                </c:pt>
                <c:pt idx="10">
                  <c:v>336.00228506323901</c:v>
                </c:pt>
                <c:pt idx="11">
                  <c:v>327.13253612758342</c:v>
                </c:pt>
                <c:pt idx="12">
                  <c:v>318.55749692535056</c:v>
                </c:pt>
                <c:pt idx="13">
                  <c:v>310.26293096211748</c:v>
                </c:pt>
                <c:pt idx="14">
                  <c:v>302.23558933690686</c:v>
                </c:pt>
                <c:pt idx="15">
                  <c:v>294.46312185576272</c:v>
                </c:pt>
                <c:pt idx="16">
                  <c:v>286.93399781686804</c:v>
                </c:pt>
                <c:pt idx="17">
                  <c:v>279.63743524288236</c:v>
                </c:pt>
                <c:pt idx="18">
                  <c:v>272.56333751201294</c:v>
                </c:pt>
                <c:pt idx="19">
                  <c:v>265.70223648703904</c:v>
                </c:pt>
                <c:pt idx="20">
                  <c:v>259.04524136603709</c:v>
                </c:pt>
                <c:pt idx="21">
                  <c:v>252.58399258389466</c:v>
                </c:pt>
                <c:pt idx="22">
                  <c:v>246.31062018309521</c:v>
                </c:pt>
                <c:pt idx="23">
                  <c:v>240.21770614837251</c:v>
                </c:pt>
                <c:pt idx="24">
                  <c:v>234.29825026483135</c:v>
                </c:pt>
                <c:pt idx="25">
                  <c:v>228.54563911479264</c:v>
                </c:pt>
                <c:pt idx="26">
                  <c:v>222.95361787643779</c:v>
                </c:pt>
                <c:pt idx="27">
                  <c:v>217.51626462849637</c:v>
                </c:pt>
                <c:pt idx="28">
                  <c:v>212.22796690077755</c:v>
                </c:pt>
              </c:numCache>
            </c:numRef>
          </c:xVal>
          <c:yVal>
            <c:numRef>
              <c:f>'Left-Warrant 2-lane'!$F$34:$F$62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4-59AD-4278-81B0-1205C748B1FD}"/>
            </c:ext>
          </c:extLst>
        </c:ser>
        <c:ser>
          <c:idx val="2"/>
          <c:order val="5"/>
          <c:tx>
            <c:v>L = 15%</c:v>
          </c:tx>
          <c:spPr>
            <a:ln w="25400">
              <a:solidFill>
                <a:srgbClr val="000000"/>
              </a:solidFill>
              <a:prstDash val="solid"/>
            </a:ln>
          </c:spPr>
          <c:marker>
            <c:symbol val="none"/>
          </c:marker>
          <c:xVal>
            <c:numRef>
              <c:f>'Left-Warrant 2-lane'!$I$34:$I$62</c:f>
              <c:numCache>
                <c:formatCode>0</c:formatCode>
                <c:ptCount val="29"/>
                <c:pt idx="0">
                  <c:v>373.86947146123617</c:v>
                </c:pt>
                <c:pt idx="1">
                  <c:v>363.02353734471137</c:v>
                </c:pt>
                <c:pt idx="2">
                  <c:v>352.61592837247269</c:v>
                </c:pt>
                <c:pt idx="3">
                  <c:v>342.61926114089692</c:v>
                </c:pt>
                <c:pt idx="4">
                  <c:v>333.00859184115785</c:v>
                </c:pt>
                <c:pt idx="5">
                  <c:v>323.76113859487845</c:v>
                </c:pt>
                <c:pt idx="6">
                  <c:v>314.85604169580643</c:v>
                </c:pt>
                <c:pt idx="7">
                  <c:v>306.27415577193437</c:v>
                </c:pt>
                <c:pt idx="8">
                  <c:v>297.9978689490838</c:v>
                </c:pt>
                <c:pt idx="9">
                  <c:v>290.01094495292375</c:v>
                </c:pt>
                <c:pt idx="10">
                  <c:v>282.2983847771734</c:v>
                </c:pt>
                <c:pt idx="11">
                  <c:v>274.84630510621713</c:v>
                </c:pt>
                <c:pt idx="12">
                  <c:v>267.64183113742939</c:v>
                </c:pt>
                <c:pt idx="13">
                  <c:v>260.67300182304632</c:v>
                </c:pt>
                <c:pt idx="14">
                  <c:v>253.92868585976345</c:v>
                </c:pt>
                <c:pt idx="15">
                  <c:v>247.39850700920252</c:v>
                </c:pt>
                <c:pt idx="16">
                  <c:v>241.07277754409805</c:v>
                </c:pt>
                <c:pt idx="17">
                  <c:v>234.94243879156829</c:v>
                </c:pt>
                <c:pt idx="18">
                  <c:v>228.99900789256577</c:v>
                </c:pt>
                <c:pt idx="19">
                  <c:v>223.23453002070067</c:v>
                </c:pt>
                <c:pt idx="20">
                  <c:v>217.6415354082543</c:v>
                </c:pt>
                <c:pt idx="21">
                  <c:v>212.21300061570375</c:v>
                </c:pt>
                <c:pt idx="22">
                  <c:v>206.9423135561855</c:v>
                </c:pt>
                <c:pt idx="23">
                  <c:v>201.82324185027531</c:v>
                </c:pt>
                <c:pt idx="24">
                  <c:v>196.84990414107224</c:v>
                </c:pt>
                <c:pt idx="25">
                  <c:v>192.0167440463382</c:v>
                </c:pt>
                <c:pt idx="26">
                  <c:v>187.31850646462027</c:v>
                </c:pt>
                <c:pt idx="27">
                  <c:v>182.75021598686982</c:v>
                </c:pt>
                <c:pt idx="28">
                  <c:v>178.30715719494867</c:v>
                </c:pt>
              </c:numCache>
            </c:numRef>
          </c:xVal>
          <c:yVal>
            <c:numRef>
              <c:f>'Left-Warrant 2-lane'!$J$34:$J$62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5-59AD-4278-81B0-1205C748B1FD}"/>
            </c:ext>
          </c:extLst>
        </c:ser>
        <c:ser>
          <c:idx val="3"/>
          <c:order val="6"/>
          <c:tx>
            <c:v>L = 20%</c:v>
          </c:tx>
          <c:spPr>
            <a:ln w="25400">
              <a:solidFill>
                <a:sysClr val="windowText" lastClr="000000"/>
              </a:solidFill>
            </a:ln>
          </c:spPr>
          <c:marker>
            <c:symbol val="none"/>
          </c:marker>
          <c:xVal>
            <c:numRef>
              <c:f>'Left-Warrant 2-lane'!$M$34:$M$62</c:f>
              <c:numCache>
                <c:formatCode>0</c:formatCode>
                <c:ptCount val="29"/>
                <c:pt idx="0">
                  <c:v>333.74525900719516</c:v>
                </c:pt>
                <c:pt idx="1">
                  <c:v>324.06332622796356</c:v>
                </c:pt>
                <c:pt idx="2">
                  <c:v>314.77267690452567</c:v>
                </c:pt>
                <c:pt idx="3">
                  <c:v>305.84886645974342</c:v>
                </c:pt>
                <c:pt idx="4">
                  <c:v>297.2696280904334</c:v>
                </c:pt>
                <c:pt idx="5">
                  <c:v>289.01462490235826</c:v>
                </c:pt>
                <c:pt idx="6">
                  <c:v>281.06523588311308</c:v>
                </c:pt>
                <c:pt idx="7">
                  <c:v>273.40437036970667</c:v>
                </c:pt>
                <c:pt idx="8">
                  <c:v>266.01630661977163</c:v>
                </c:pt>
                <c:pt idx="9">
                  <c:v>258.8865508594231</c:v>
                </c:pt>
                <c:pt idx="10">
                  <c:v>252.00171379742923</c:v>
                </c:pt>
                <c:pt idx="11">
                  <c:v>245.34940209568757</c:v>
                </c:pt>
                <c:pt idx="12">
                  <c:v>238.91812269401291</c:v>
                </c:pt>
                <c:pt idx="13">
                  <c:v>232.69719822158811</c:v>
                </c:pt>
                <c:pt idx="14">
                  <c:v>226.67669200268017</c:v>
                </c:pt>
                <c:pt idx="15">
                  <c:v>220.84734139182203</c:v>
                </c:pt>
                <c:pt idx="16">
                  <c:v>215.20049836265102</c:v>
                </c:pt>
                <c:pt idx="17">
                  <c:v>209.72807643216177</c:v>
                </c:pt>
                <c:pt idx="18">
                  <c:v>204.42250313400967</c:v>
                </c:pt>
                <c:pt idx="19">
                  <c:v>199.27667736527926</c:v>
                </c:pt>
                <c:pt idx="20">
                  <c:v>194.28393102452782</c:v>
                </c:pt>
                <c:pt idx="21">
                  <c:v>189.43799443792099</c:v>
                </c:pt>
                <c:pt idx="22">
                  <c:v>184.73296513732143</c:v>
                </c:pt>
                <c:pt idx="23">
                  <c:v>180.16327961127936</c:v>
                </c:pt>
                <c:pt idx="24">
                  <c:v>175.72368769862351</c:v>
                </c:pt>
                <c:pt idx="25">
                  <c:v>171.40922933609446</c:v>
                </c:pt>
                <c:pt idx="26">
                  <c:v>167.21521340732832</c:v>
                </c:pt>
                <c:pt idx="27">
                  <c:v>163.13719847137224</c:v>
                </c:pt>
                <c:pt idx="28">
                  <c:v>159.17097517558315</c:v>
                </c:pt>
              </c:numCache>
            </c:numRef>
          </c:xVal>
          <c:yVal>
            <c:numRef>
              <c:f>'Left-Warrant 2-lane'!$N$34:$N$62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6-59AD-4278-81B0-1205C748B1FD}"/>
            </c:ext>
          </c:extLst>
        </c:ser>
        <c:ser>
          <c:idx val="4"/>
          <c:order val="7"/>
          <c:tx>
            <c:v>L = 30%</c:v>
          </c:tx>
          <c:spPr>
            <a:ln w="25400">
              <a:solidFill>
                <a:srgbClr val="000000"/>
              </a:solidFill>
              <a:prstDash val="solid"/>
            </a:ln>
          </c:spPr>
          <c:marker>
            <c:symbol val="none"/>
          </c:marker>
          <c:xVal>
            <c:numRef>
              <c:f>'Left-Warrant 2-lane'!$Q$34:$Q$62</c:f>
              <c:numCache>
                <c:formatCode>0</c:formatCode>
                <c:ptCount val="29"/>
                <c:pt idx="0">
                  <c:v>291.31674518725993</c:v>
                </c:pt>
                <c:pt idx="1">
                  <c:v>282.86566140929745</c:v>
                </c:pt>
                <c:pt idx="2">
                  <c:v>274.75611783216516</c:v>
                </c:pt>
                <c:pt idx="3">
                  <c:v>266.96677747965998</c:v>
                </c:pt>
                <c:pt idx="4">
                  <c:v>259.47820429252988</c:v>
                </c:pt>
                <c:pt idx="5">
                  <c:v>252.27264677415732</c:v>
                </c:pt>
                <c:pt idx="6">
                  <c:v>245.33385117237793</c:v>
                </c:pt>
                <c:pt idx="7">
                  <c:v>238.64689953350907</c:v>
                </c:pt>
                <c:pt idx="8">
                  <c:v>232.19806879574972</c:v>
                </c:pt>
                <c:pt idx="9">
                  <c:v>225.97470775606504</c:v>
                </c:pt>
                <c:pt idx="10">
                  <c:v>219.96512928291756</c:v>
                </c:pt>
                <c:pt idx="11">
                  <c:v>214.15851558393246</c:v>
                </c:pt>
                <c:pt idx="12">
                  <c:v>208.5448346937259</c:v>
                </c:pt>
                <c:pt idx="13">
                  <c:v>203.11476663896593</c:v>
                </c:pt>
                <c:pt idx="14">
                  <c:v>197.85963797799485</c:v>
                </c:pt>
                <c:pt idx="15">
                  <c:v>192.77136361100546</c:v>
                </c:pt>
                <c:pt idx="16">
                  <c:v>187.84239492172736</c:v>
                </c:pt>
                <c:pt idx="17">
                  <c:v>183.06567344911721</c:v>
                </c:pt>
                <c:pt idx="18">
                  <c:v>178.43458940265654</c:v>
                </c:pt>
                <c:pt idx="19">
                  <c:v>173.94294443155911</c:v>
                </c:pt>
                <c:pt idx="20">
                  <c:v>169.58491813971011</c:v>
                </c:pt>
                <c:pt idx="21">
                  <c:v>165.35503790712315</c:v>
                </c:pt>
                <c:pt idx="22">
                  <c:v>161.24815163722167</c:v>
                </c:pt>
                <c:pt idx="23">
                  <c:v>157.25940309908231</c:v>
                </c:pt>
                <c:pt idx="24">
                  <c:v>153.38420957632815</c:v>
                </c:pt>
                <c:pt idx="25">
                  <c:v>149.61824157079963</c:v>
                </c:pt>
                <c:pt idx="26">
                  <c:v>145.9574043404337</c:v>
                </c:pt>
                <c:pt idx="27">
                  <c:v>142.39782107773289</c:v>
                </c:pt>
                <c:pt idx="28">
                  <c:v>138.9358175584851</c:v>
                </c:pt>
              </c:numCache>
            </c:numRef>
          </c:xVal>
          <c:yVal>
            <c:numRef>
              <c:f>'Left-Warrant 2-lane'!$R$34:$R$62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7-59AD-4278-81B0-1205C748B1FD}"/>
            </c:ext>
          </c:extLst>
        </c:ser>
        <c:ser>
          <c:idx val="5"/>
          <c:order val="8"/>
          <c:tx>
            <c:v>L = 40 %</c:v>
          </c:tx>
          <c:spPr>
            <a:ln w="25400">
              <a:solidFill>
                <a:sysClr val="windowText" lastClr="000000"/>
              </a:solidFill>
            </a:ln>
          </c:spPr>
          <c:marker>
            <c:symbol val="none"/>
          </c:marker>
          <c:xVal>
            <c:numRef>
              <c:f>'Left-Warrant 2-lane'!$U$34:$U$62</c:f>
              <c:numCache>
                <c:formatCode>0</c:formatCode>
                <c:ptCount val="29"/>
                <c:pt idx="0">
                  <c:v>272.50186288021325</c:v>
                </c:pt>
                <c:pt idx="1">
                  <c:v>264.59659786919855</c:v>
                </c:pt>
                <c:pt idx="2">
                  <c:v>257.010814462013</c:v>
                </c:pt>
                <c:pt idx="3">
                  <c:v>249.7245537450012</c:v>
                </c:pt>
                <c:pt idx="4">
                  <c:v>242.71963494949557</c:v>
                </c:pt>
                <c:pt idx="5">
                  <c:v>235.97945307088477</c:v>
                </c:pt>
                <c:pt idx="6">
                  <c:v>229.48880411620667</c:v>
                </c:pt>
                <c:pt idx="7">
                  <c:v>223.23373361756319</c:v>
                </c:pt>
                <c:pt idx="8">
                  <c:v>217.20140482606519</c:v>
                </c:pt>
                <c:pt idx="9">
                  <c:v>211.37998362489083</c:v>
                </c:pt>
                <c:pt idx="10">
                  <c:v>205.75853770352836</c:v>
                </c:pt>
                <c:pt idx="11">
                  <c:v>200.32694794379077</c:v>
                </c:pt>
                <c:pt idx="12">
                  <c:v>195.07583030133247</c:v>
                </c:pt>
                <c:pt idx="13">
                  <c:v>189.99646673938801</c:v>
                </c:pt>
                <c:pt idx="14">
                  <c:v>185.08074399619557</c:v>
                </c:pt>
                <c:pt idx="15">
                  <c:v>180.32109915340098</c:v>
                </c:pt>
                <c:pt idx="16">
                  <c:v>175.71047112704724</c:v>
                </c:pt>
                <c:pt idx="17">
                  <c:v>171.24225733140889</c:v>
                </c:pt>
                <c:pt idx="18">
                  <c:v>166.91027487360628</c:v>
                </c:pt>
                <c:pt idx="19">
                  <c:v>162.7087257273881</c:v>
                </c:pt>
                <c:pt idx="20">
                  <c:v>158.63216541072512</c:v>
                </c:pt>
                <c:pt idx="21">
                  <c:v>154.67547475636809</c:v>
                </c:pt>
                <c:pt idx="22">
                  <c:v>150.83383441926375</c:v>
                </c:pt>
                <c:pt idx="23">
                  <c:v>147.10270181133552</c:v>
                </c:pt>
                <c:pt idx="24">
                  <c:v>143.47779019393761</c:v>
                </c:pt>
                <c:pt idx="25">
                  <c:v>139.9550496923776</c:v>
                </c:pt>
                <c:pt idx="26">
                  <c:v>136.53065002618365</c:v>
                </c:pt>
                <c:pt idx="27">
                  <c:v>133.20096477400332</c:v>
                </c:pt>
                <c:pt idx="28">
                  <c:v>129.96255701379562</c:v>
                </c:pt>
              </c:numCache>
            </c:numRef>
          </c:xVal>
          <c:yVal>
            <c:numRef>
              <c:f>'Left-Warrant 2-lane'!$V$34:$V$62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8-59AD-4278-81B0-1205C748B1FD}"/>
            </c:ext>
          </c:extLst>
        </c:ser>
        <c:ser>
          <c:idx val="14"/>
          <c:order val="9"/>
          <c:tx>
            <c:v>Volume Data Point</c:v>
          </c:tx>
          <c:spPr>
            <a:ln w="28575">
              <a:noFill/>
            </a:ln>
          </c:spPr>
          <c:marker>
            <c:symbol val="circle"/>
            <c:size val="4"/>
            <c:spPr>
              <a:solidFill>
                <a:srgbClr val="FF0000"/>
              </a:solidFill>
              <a:ln>
                <a:noFill/>
                <a:prstDash val="solid"/>
              </a:ln>
            </c:spPr>
          </c:marker>
          <c:dLbls>
            <c:spPr>
              <a:solidFill>
                <a:schemeClr val="bg1">
                  <a:lumMod val="85000"/>
                </a:schemeClr>
              </a:solidFill>
              <a:ln>
                <a:solidFill>
                  <a:schemeClr val="tx1"/>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'Inputs&amp;Findings'!$BQ$5</c:f>
              <c:numCache>
                <c:formatCode>0</c:formatCode>
                <c:ptCount val="1"/>
                <c:pt idx="0">
                  <c:v>1014</c:v>
                </c:pt>
              </c:numCache>
            </c:numRef>
          </c:xVal>
          <c:yVal>
            <c:numRef>
              <c:f>'Inputs&amp;Findings'!$BQ$6</c:f>
              <c:numCache>
                <c:formatCode>0</c:formatCode>
                <c:ptCount val="1"/>
                <c:pt idx="0">
                  <c:v>650</c:v>
                </c:pt>
              </c:numCache>
            </c:numRef>
          </c:yVal>
          <c:smooth val="1"/>
          <c:extLst>
            <c:ext xmlns:c16="http://schemas.microsoft.com/office/drawing/2014/chart" uri="{C3380CC4-5D6E-409C-BE32-E72D297353CC}">
              <c16:uniqueId val="{00000009-59AD-4278-81B0-1205C748B1FD}"/>
            </c:ext>
          </c:extLst>
        </c:ser>
        <c:ser>
          <c:idx val="9"/>
          <c:order val="10"/>
          <c:tx>
            <c:v>L = 1%</c:v>
          </c:tx>
          <c:spPr>
            <a:ln w="25400">
              <a:solidFill>
                <a:srgbClr val="000000"/>
              </a:solidFill>
              <a:prstDash val="solid"/>
            </a:ln>
          </c:spPr>
          <c:marker>
            <c:symbol val="none"/>
          </c:marker>
          <c:xVal>
            <c:numRef>
              <c:f>'Left-Warrant 2-lane'!$AK$34:$AK$62</c:f>
              <c:numCache>
                <c:formatCode>General</c:formatCode>
                <c:ptCount val="29"/>
                <c:pt idx="0">
                  <c:v>1342</c:v>
                </c:pt>
                <c:pt idx="1">
                  <c:v>1303</c:v>
                </c:pt>
                <c:pt idx="2">
                  <c:v>1265</c:v>
                </c:pt>
                <c:pt idx="3">
                  <c:v>1230</c:v>
                </c:pt>
                <c:pt idx="4">
                  <c:v>1195</c:v>
                </c:pt>
                <c:pt idx="5">
                  <c:v>1162</c:v>
                </c:pt>
                <c:pt idx="6">
                  <c:v>1130</c:v>
                </c:pt>
                <c:pt idx="7">
                  <c:v>1099</c:v>
                </c:pt>
                <c:pt idx="8">
                  <c:v>1069</c:v>
                </c:pt>
                <c:pt idx="9">
                  <c:v>1041</c:v>
                </c:pt>
                <c:pt idx="10">
                  <c:v>1013</c:v>
                </c:pt>
                <c:pt idx="11">
                  <c:v>986</c:v>
                </c:pt>
                <c:pt idx="12">
                  <c:v>960</c:v>
                </c:pt>
                <c:pt idx="13">
                  <c:v>935</c:v>
                </c:pt>
                <c:pt idx="14">
                  <c:v>911</c:v>
                </c:pt>
                <c:pt idx="15">
                  <c:v>888</c:v>
                </c:pt>
                <c:pt idx="16">
                  <c:v>865</c:v>
                </c:pt>
                <c:pt idx="17">
                  <c:v>843</c:v>
                </c:pt>
                <c:pt idx="18">
                  <c:v>822</c:v>
                </c:pt>
                <c:pt idx="19">
                  <c:v>801</c:v>
                </c:pt>
                <c:pt idx="20">
                  <c:v>781</c:v>
                </c:pt>
                <c:pt idx="21">
                  <c:v>762</c:v>
                </c:pt>
                <c:pt idx="22">
                  <c:v>743</c:v>
                </c:pt>
                <c:pt idx="23">
                  <c:v>724</c:v>
                </c:pt>
                <c:pt idx="24">
                  <c:v>706</c:v>
                </c:pt>
                <c:pt idx="25">
                  <c:v>689</c:v>
                </c:pt>
                <c:pt idx="26">
                  <c:v>672</c:v>
                </c:pt>
                <c:pt idx="27">
                  <c:v>656</c:v>
                </c:pt>
                <c:pt idx="28">
                  <c:v>640</c:v>
                </c:pt>
              </c:numCache>
            </c:numRef>
          </c:xVal>
          <c:yVal>
            <c:numRef>
              <c:f>'Left-Warrant 2-lane'!$AL$34:$AL$62</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A-59AD-4278-81B0-1205C748B1FD}"/>
            </c:ext>
          </c:extLst>
        </c:ser>
        <c:ser>
          <c:idx val="10"/>
          <c:order val="11"/>
          <c:tx>
            <c:v>Graph Line X</c:v>
          </c:tx>
          <c:spPr>
            <a:ln w="19050">
              <a:solidFill>
                <a:srgbClr val="FF0000"/>
              </a:solidFill>
              <a:prstDash val="sysDash"/>
            </a:ln>
          </c:spPr>
          <c:marker>
            <c:symbol val="none"/>
          </c:marker>
          <c:xVal>
            <c:numRef>
              <c:f>'Inputs&amp;Findings'!$BN$29:$BN$30</c:f>
              <c:numCache>
                <c:formatCode>0</c:formatCode>
                <c:ptCount val="2"/>
                <c:pt idx="0" formatCode="General">
                  <c:v>0</c:v>
                </c:pt>
                <c:pt idx="1">
                  <c:v>1014</c:v>
                </c:pt>
              </c:numCache>
            </c:numRef>
          </c:xVal>
          <c:yVal>
            <c:numRef>
              <c:f>'Inputs&amp;Findings'!$BO$29:$BO$30</c:f>
              <c:numCache>
                <c:formatCode>0</c:formatCode>
                <c:ptCount val="2"/>
                <c:pt idx="0">
                  <c:v>650</c:v>
                </c:pt>
                <c:pt idx="1">
                  <c:v>650</c:v>
                </c:pt>
              </c:numCache>
            </c:numRef>
          </c:yVal>
          <c:smooth val="1"/>
          <c:extLst>
            <c:ext xmlns:c16="http://schemas.microsoft.com/office/drawing/2014/chart" uri="{C3380CC4-5D6E-409C-BE32-E72D297353CC}">
              <c16:uniqueId val="{0000000B-59AD-4278-81B0-1205C748B1FD}"/>
            </c:ext>
          </c:extLst>
        </c:ser>
        <c:ser>
          <c:idx val="11"/>
          <c:order val="12"/>
          <c:tx>
            <c:v>Graph Line Y</c:v>
          </c:tx>
          <c:spPr>
            <a:ln w="19050">
              <a:solidFill>
                <a:srgbClr val="FF0000"/>
              </a:solidFill>
              <a:prstDash val="sysDash"/>
            </a:ln>
          </c:spPr>
          <c:marker>
            <c:symbol val="none"/>
          </c:marker>
          <c:xVal>
            <c:numRef>
              <c:f>'Inputs&amp;Findings'!$BP$29:$BP$30</c:f>
              <c:numCache>
                <c:formatCode>0</c:formatCode>
                <c:ptCount val="2"/>
                <c:pt idx="0">
                  <c:v>1014</c:v>
                </c:pt>
                <c:pt idx="1">
                  <c:v>1014</c:v>
                </c:pt>
              </c:numCache>
            </c:numRef>
          </c:xVal>
          <c:yVal>
            <c:numRef>
              <c:f>'Inputs&amp;Findings'!$BQ$29:$BQ$30</c:f>
              <c:numCache>
                <c:formatCode>0</c:formatCode>
                <c:ptCount val="2"/>
                <c:pt idx="0" formatCode="General">
                  <c:v>0</c:v>
                </c:pt>
                <c:pt idx="1">
                  <c:v>650</c:v>
                </c:pt>
              </c:numCache>
            </c:numRef>
          </c:yVal>
          <c:smooth val="1"/>
          <c:extLst>
            <c:ext xmlns:c16="http://schemas.microsoft.com/office/drawing/2014/chart" uri="{C3380CC4-5D6E-409C-BE32-E72D297353CC}">
              <c16:uniqueId val="{0000000C-59AD-4278-81B0-1205C748B1FD}"/>
            </c:ext>
          </c:extLst>
        </c:ser>
        <c:ser>
          <c:idx val="12"/>
          <c:order val="13"/>
          <c:tx>
            <c:strRef>
              <c:f>'Inputs&amp;Findings'!$BI$24</c:f>
              <c:strCache>
                <c:ptCount val="1"/>
                <c:pt idx="0">
                  <c:v>12.8%</c:v>
                </c:pt>
              </c:strCache>
            </c:strRef>
          </c:tx>
          <c:spPr>
            <a:ln w="19050">
              <a:solidFill>
                <a:srgbClr val="FF0000"/>
              </a:solidFill>
            </a:ln>
          </c:spPr>
          <c:marker>
            <c:symbol val="none"/>
          </c:marker>
          <c:xVal>
            <c:numRef>
              <c:f>'Inputs&amp;Findings'!$BI$27:$BI$34</c:f>
              <c:numCache>
                <c:formatCode>0</c:formatCode>
                <c:ptCount val="8"/>
                <c:pt idx="0">
                  <c:v>399.31464900961328</c:v>
                </c:pt>
                <c:pt idx="1">
                  <c:v>355.6728193091443</c:v>
                </c:pt>
                <c:pt idx="2">
                  <c:v>318.27930207816888</c:v>
                </c:pt>
                <c:pt idx="3">
                  <c:v>285.85726307961937</c:v>
                </c:pt>
                <c:pt idx="4">
                  <c:v>257.47994660958835</c:v>
                </c:pt>
                <c:pt idx="5">
                  <c:v>232.45399786666243</c:v>
                </c:pt>
                <c:pt idx="6">
                  <c:v>210.24730923455002</c:v>
                </c:pt>
                <c:pt idx="7">
                  <c:v>190.44256171257129</c:v>
                </c:pt>
              </c:numCache>
            </c:numRef>
          </c:xVal>
          <c:yVal>
            <c:numRef>
              <c:f>'Inputs&amp;Findings'!$BE$27:$BE$34</c:f>
              <c:numCache>
                <c:formatCode>0</c:formatCode>
                <c:ptCount val="8"/>
                <c:pt idx="0">
                  <c:v>100</c:v>
                </c:pt>
                <c:pt idx="1">
                  <c:v>200</c:v>
                </c:pt>
                <c:pt idx="2">
                  <c:v>300</c:v>
                </c:pt>
                <c:pt idx="3">
                  <c:v>400</c:v>
                </c:pt>
                <c:pt idx="4">
                  <c:v>500</c:v>
                </c:pt>
                <c:pt idx="5">
                  <c:v>600</c:v>
                </c:pt>
                <c:pt idx="6">
                  <c:v>700</c:v>
                </c:pt>
                <c:pt idx="7">
                  <c:v>800</c:v>
                </c:pt>
              </c:numCache>
            </c:numRef>
          </c:yVal>
          <c:smooth val="1"/>
          <c:extLst>
            <c:ext xmlns:c16="http://schemas.microsoft.com/office/drawing/2014/chart" uri="{C3380CC4-5D6E-409C-BE32-E72D297353CC}">
              <c16:uniqueId val="{0000000D-59AD-4278-81B0-1205C748B1FD}"/>
            </c:ext>
          </c:extLst>
        </c:ser>
        <c:dLbls>
          <c:showLegendKey val="0"/>
          <c:showVal val="0"/>
          <c:showCatName val="0"/>
          <c:showSerName val="0"/>
          <c:showPercent val="0"/>
          <c:showBubbleSize val="0"/>
        </c:dLbls>
        <c:axId val="490294008"/>
        <c:axId val="490294400"/>
      </c:scatterChart>
      <c:valAx>
        <c:axId val="490294008"/>
        <c:scaling>
          <c:orientation val="minMax"/>
          <c:max val="14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(VPH)</a:t>
                </a:r>
              </a:p>
            </c:rich>
          </c:tx>
          <c:layout>
            <c:manualLayout>
              <c:xMode val="edge"/>
              <c:yMode val="edge"/>
              <c:x val="0.4350721711625547"/>
              <c:y val="0.944535140963352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4400"/>
        <c:crosses val="autoZero"/>
        <c:crossBetween val="midCat"/>
      </c:valAx>
      <c:valAx>
        <c:axId val="490294400"/>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Opposing Volume (VPH)</a:t>
                </a:r>
              </a:p>
            </c:rich>
          </c:tx>
          <c:layout>
            <c:manualLayout>
              <c:xMode val="edge"/>
              <c:yMode val="edge"/>
              <c:x val="1.220867458457325E-2"/>
              <c:y val="0.409461705993789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4008"/>
        <c:crosses val="autoZero"/>
        <c:crossBetween val="midCat"/>
      </c:valAx>
      <c:spPr>
        <a:noFill/>
        <a:ln w="12700">
          <a:solidFill>
            <a:srgbClr val="808080"/>
          </a:solidFill>
          <a:prstDash val="solid"/>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10"/>
        <c:delete val="1"/>
      </c:legendEntry>
      <c:legendEntry>
        <c:idx val="11"/>
        <c:delete val="1"/>
      </c:legendEntry>
      <c:legendEntry>
        <c:idx val="12"/>
        <c:delete val="1"/>
      </c:legendEntry>
      <c:layout>
        <c:manualLayout>
          <c:xMode val="edge"/>
          <c:yMode val="edge"/>
          <c:x val="0.81828316610925256"/>
          <c:y val="0.41571194762684138"/>
          <c:w val="0.16851727982162831"/>
          <c:h val="7.4471263923433798E-2"/>
        </c:manualLayout>
      </c:layout>
      <c:overlay val="0"/>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Figure 5. Warrant for left turn storage lanes on two-lane highways</a:t>
            </a:r>
          </a:p>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 (55 mph speed, unsignalized and signalized intersections)</a:t>
            </a:r>
          </a:p>
          <a:p>
            <a:pPr>
              <a:defRPr sz="1000" b="0" i="0" u="none" strike="noStrike" baseline="0">
                <a:solidFill>
                  <a:srgbClr val="000000"/>
                </a:solidFill>
                <a:latin typeface="Arial"/>
                <a:ea typeface="Arial"/>
                <a:cs typeface="Arial"/>
              </a:defRPr>
            </a:pPr>
            <a:r>
              <a:rPr lang="en-US" sz="900" b="0" i="0" u="none" strike="noStrike" baseline="0">
                <a:solidFill>
                  <a:srgbClr val="000000"/>
                </a:solidFill>
                <a:latin typeface="Arial"/>
                <a:cs typeface="Arial"/>
              </a:rPr>
              <a:t>(L = % Left Turns in Advancing Volume)</a:t>
            </a:r>
          </a:p>
        </c:rich>
      </c:tx>
      <c:overlay val="1"/>
      <c:spPr>
        <a:noFill/>
        <a:ln w="25400">
          <a:noFill/>
        </a:ln>
      </c:spPr>
    </c:title>
    <c:autoTitleDeleted val="0"/>
    <c:plotArea>
      <c:layout>
        <c:manualLayout>
          <c:layoutTarget val="inner"/>
          <c:xMode val="edge"/>
          <c:yMode val="edge"/>
          <c:x val="7.6923076923076927E-2"/>
          <c:y val="0.14729950900163671"/>
          <c:w val="0.7123745819397993"/>
          <c:h val="0.74631751227495913"/>
        </c:manualLayout>
      </c:layout>
      <c:scatterChart>
        <c:scatterStyle val="smoothMarker"/>
        <c:varyColors val="0"/>
        <c:ser>
          <c:idx val="9"/>
          <c:order val="0"/>
          <c:tx>
            <c:v>L = 1%</c:v>
          </c:tx>
          <c:spPr>
            <a:ln w="25400">
              <a:solidFill>
                <a:sysClr val="windowText" lastClr="000000"/>
              </a:solidFill>
            </a:ln>
          </c:spPr>
          <c:marker>
            <c:symbol val="none"/>
          </c:marker>
          <c:xVal>
            <c:numRef>
              <c:f>'Left-Warrant 2-lane'!$AK$162:$AK$190</c:f>
              <c:numCache>
                <c:formatCode>0</c:formatCode>
                <c:ptCount val="29"/>
                <c:pt idx="0">
                  <c:v>1249.0607047391711</c:v>
                </c:pt>
                <c:pt idx="1">
                  <c:v>1212.8255180089122</c:v>
                </c:pt>
                <c:pt idx="2">
                  <c:v>1178.0547319730645</c:v>
                </c:pt>
                <c:pt idx="3">
                  <c:v>1144.6568614047274</c:v>
                </c:pt>
                <c:pt idx="4">
                  <c:v>1112.5485715204813</c:v>
                </c:pt>
                <c:pt idx="5">
                  <c:v>1081.6537503314291</c:v>
                </c:pt>
                <c:pt idx="6">
                  <c:v>1051.9027076344896</c:v>
                </c:pt>
                <c:pt idx="7">
                  <c:v>1023.2314806467194</c:v>
                </c:pt>
                <c:pt idx="8">
                  <c:v>995.58122984884119</c:v>
                </c:pt>
                <c:pt idx="9">
                  <c:v>968.89771146379928</c:v>
                </c:pt>
                <c:pt idx="10">
                  <c:v>943.13081530398586</c:v>
                </c:pt>
                <c:pt idx="11">
                  <c:v>918.23415859329702</c:v>
                </c:pt>
                <c:pt idx="12">
                  <c:v>894.16472789718296</c:v>
                </c:pt>
                <c:pt idx="13">
                  <c:v>870.88256254516955</c:v>
                </c:pt>
                <c:pt idx="14">
                  <c:v>848.35047396046366</c:v>
                </c:pt>
                <c:pt idx="15">
                  <c:v>826.53379616306268</c:v>
                </c:pt>
                <c:pt idx="16">
                  <c:v>805.40016342008551</c:v>
                </c:pt>
                <c:pt idx="17">
                  <c:v>784.91931160675779</c:v>
                </c:pt>
                <c:pt idx="18">
                  <c:v>765.06290033503308</c:v>
                </c:pt>
                <c:pt idx="19">
                  <c:v>745.80435332143543</c:v>
                </c:pt>
                <c:pt idx="20">
                  <c:v>727.11871481524622</c:v>
                </c:pt>
                <c:pt idx="21">
                  <c:v>708.98252020384064</c:v>
                </c:pt>
                <c:pt idx="22">
                  <c:v>691.37367916289975</c:v>
                </c:pt>
                <c:pt idx="23">
                  <c:v>674.27136993287888</c:v>
                </c:pt>
                <c:pt idx="24">
                  <c:v>657.6559434855576</c:v>
                </c:pt>
                <c:pt idx="25">
                  <c:v>641.50883650072944</c:v>
                </c:pt>
                <c:pt idx="26">
                  <c:v>625.81249220731434</c:v>
                </c:pt>
                <c:pt idx="27">
                  <c:v>610.55028825872637</c:v>
                </c:pt>
                <c:pt idx="28">
                  <c:v>595.70647091214198</c:v>
                </c:pt>
              </c:numCache>
            </c:numRef>
          </c:xVal>
          <c:yVal>
            <c:numRef>
              <c:f>'Left-Warrant 2-lane'!$AL$162:$AL$190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0-E59D-4F5D-BA60-EE45107BD693}"/>
            </c:ext>
          </c:extLst>
        </c:ser>
        <c:ser>
          <c:idx val="8"/>
          <c:order val="1"/>
          <c:tx>
            <c:v>L = 2%</c:v>
          </c:tx>
          <c:spPr>
            <a:ln w="25400">
              <a:solidFill>
                <a:sysClr val="windowText" lastClr="000000"/>
              </a:solidFill>
            </a:ln>
          </c:spPr>
          <c:marker>
            <c:symbol val="none"/>
          </c:marker>
          <c:xVal>
            <c:numRef>
              <c:f>'Left-Warrant 2-lane'!$AG$162:$AG$190</c:f>
              <c:numCache>
                <c:formatCode>0</c:formatCode>
                <c:ptCount val="29"/>
                <c:pt idx="0">
                  <c:v>887.71407814215456</c:v>
                </c:pt>
                <c:pt idx="1">
                  <c:v>861.96153844371167</c:v>
                </c:pt>
                <c:pt idx="2">
                  <c:v>837.2497560980039</c:v>
                </c:pt>
                <c:pt idx="3">
                  <c:v>813.51371206828367</c:v>
                </c:pt>
                <c:pt idx="4">
                  <c:v>790.69417988128203</c:v>
                </c:pt>
                <c:pt idx="5">
                  <c:v>768.73706634216603</c:v>
                </c:pt>
                <c:pt idx="6">
                  <c:v>747.59284225339627</c:v>
                </c:pt>
                <c:pt idx="7">
                  <c:v>727.21604892535095</c:v>
                </c:pt>
                <c:pt idx="8">
                  <c:v>707.56486879911085</c:v>
                </c:pt>
                <c:pt idx="9">
                  <c:v>688.60075053416779</c:v>
                </c:pt>
                <c:pt idx="10">
                  <c:v>670.2880805539927</c:v>
                </c:pt>
                <c:pt idx="11">
                  <c:v>652.59389437321295</c:v>
                </c:pt>
                <c:pt idx="12">
                  <c:v>635.48762211539736</c:v>
                </c:pt>
                <c:pt idx="13">
                  <c:v>618.94086351975989</c:v>
                </c:pt>
                <c:pt idx="14">
                  <c:v>602.92718846722005</c:v>
                </c:pt>
                <c:pt idx="15">
                  <c:v>587.42195966163649</c:v>
                </c:pt>
                <c:pt idx="16">
                  <c:v>572.40217460471695</c:v>
                </c:pt>
                <c:pt idx="17">
                  <c:v>557.84632442221459</c:v>
                </c:pt>
                <c:pt idx="18">
                  <c:v>543.73426744979429</c:v>
                </c:pt>
                <c:pt idx="19">
                  <c:v>530.04711578161073</c:v>
                </c:pt>
                <c:pt idx="20">
                  <c:v>516.76713323305796</c:v>
                </c:pt>
                <c:pt idx="21">
                  <c:v>503.87764337929417</c:v>
                </c:pt>
                <c:pt idx="22">
                  <c:v>491.36294650947724</c:v>
                </c:pt>
                <c:pt idx="23">
                  <c:v>479.20824448848913</c:v>
                </c:pt>
                <c:pt idx="24">
                  <c:v>467.39957264759357</c:v>
                </c:pt>
                <c:pt idx="25">
                  <c:v>455.92373793650745</c:v>
                </c:pt>
                <c:pt idx="26">
                  <c:v>444.76826266475877</c:v>
                </c:pt>
                <c:pt idx="27">
                  <c:v>433.92133324232725</c:v>
                </c:pt>
                <c:pt idx="28">
                  <c:v>423.37175340050101</c:v>
                </c:pt>
              </c:numCache>
            </c:numRef>
          </c:xVal>
          <c:yVal>
            <c:numRef>
              <c:f>'Left-Warrant 2-lane'!$AH$162:$AH$190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1-E59D-4F5D-BA60-EE45107BD693}"/>
            </c:ext>
          </c:extLst>
        </c:ser>
        <c:ser>
          <c:idx val="7"/>
          <c:order val="2"/>
          <c:tx>
            <c:v>L = 3%</c:v>
          </c:tx>
          <c:spPr>
            <a:ln w="25400">
              <a:solidFill>
                <a:srgbClr val="000000"/>
              </a:solidFill>
              <a:prstDash val="solid"/>
            </a:ln>
          </c:spPr>
          <c:marker>
            <c:symbol val="none"/>
          </c:marker>
          <c:xVal>
            <c:numRef>
              <c:f>'Left-Warrant 2-lane'!$AC$162:$AC$190</c:f>
              <c:numCache>
                <c:formatCode>0</c:formatCode>
                <c:ptCount val="29"/>
                <c:pt idx="0">
                  <c:v>728.54209209869703</c:v>
                </c:pt>
                <c:pt idx="1">
                  <c:v>707.40712351959792</c:v>
                </c:pt>
                <c:pt idx="2">
                  <c:v>687.12629881159262</c:v>
                </c:pt>
                <c:pt idx="3">
                  <c:v>667.64625720658603</c:v>
                </c:pt>
                <c:pt idx="4">
                  <c:v>648.91839186167101</c:v>
                </c:pt>
                <c:pt idx="5">
                  <c:v>630.89830878749603</c:v>
                </c:pt>
                <c:pt idx="6">
                  <c:v>613.54535964234447</c:v>
                </c:pt>
                <c:pt idx="7">
                  <c:v>596.82223672809948</c:v>
                </c:pt>
                <c:pt idx="8">
                  <c:v>580.69462060271155</c:v>
                </c:pt>
                <c:pt idx="9">
                  <c:v>565.13087239172933</c:v>
                </c:pt>
                <c:pt idx="10">
                  <c:v>550.1017642275425</c:v>
                </c:pt>
                <c:pt idx="11">
                  <c:v>535.58024233717458</c:v>
                </c:pt>
                <c:pt idx="12">
                  <c:v>521.54121819011903</c:v>
                </c:pt>
                <c:pt idx="13">
                  <c:v>507.96138384757137</c:v>
                </c:pt>
                <c:pt idx="14">
                  <c:v>494.81904825525714</c:v>
                </c:pt>
                <c:pt idx="15">
                  <c:v>482.09399171888901</c:v>
                </c:pt>
                <c:pt idx="16">
                  <c:v>469.76733621383949</c:v>
                </c:pt>
                <c:pt idx="17">
                  <c:v>457.82142952457178</c:v>
                </c:pt>
                <c:pt idx="18">
                  <c:v>446.23974149725103</c:v>
                </c:pt>
                <c:pt idx="19">
                  <c:v>435.00677093078252</c:v>
                </c:pt>
                <c:pt idx="20">
                  <c:v>424.10796183539765</c:v>
                </c:pt>
                <c:pt idx="21">
                  <c:v>413.52962796037468</c:v>
                </c:pt>
                <c:pt idx="22">
                  <c:v>403.25888463883257</c:v>
                </c:pt>
                <c:pt idx="23">
                  <c:v>393.2835871221597</c:v>
                </c:pt>
                <c:pt idx="24">
                  <c:v>383.59227468304869</c:v>
                </c:pt>
                <c:pt idx="25">
                  <c:v>374.1741198572393</c:v>
                </c:pt>
                <c:pt idx="26">
                  <c:v>365.01888227235821</c:v>
                </c:pt>
                <c:pt idx="27">
                  <c:v>356.11686657964361</c:v>
                </c:pt>
                <c:pt idx="28">
                  <c:v>347.4588840625571</c:v>
                </c:pt>
              </c:numCache>
            </c:numRef>
          </c:xVal>
          <c:yVal>
            <c:numRef>
              <c:f>'Left-Warrant 2-lane'!$AD$162:$AD$190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2-E59D-4F5D-BA60-EE45107BD693}"/>
            </c:ext>
          </c:extLst>
        </c:ser>
        <c:ser>
          <c:idx val="6"/>
          <c:order val="3"/>
          <c:tx>
            <c:v>L = 4%</c:v>
          </c:tx>
          <c:spPr>
            <a:ln w="25400">
              <a:solidFill>
                <a:sysClr val="windowText" lastClr="000000"/>
              </a:solidFill>
            </a:ln>
          </c:spPr>
          <c:marker>
            <c:symbol val="none"/>
          </c:marker>
          <c:xVal>
            <c:numRef>
              <c:f>'Left-Warrant 2-lane'!$Y$162:$Y$190</c:f>
              <c:numCache>
                <c:formatCode>0</c:formatCode>
                <c:ptCount val="29"/>
                <c:pt idx="0">
                  <c:v>634.21357093891788</c:v>
                </c:pt>
                <c:pt idx="1">
                  <c:v>615.81506790168169</c:v>
                </c:pt>
                <c:pt idx="2">
                  <c:v>598.16011783201861</c:v>
                </c:pt>
                <c:pt idx="3">
                  <c:v>581.20226888637922</c:v>
                </c:pt>
                <c:pt idx="4">
                  <c:v>564.89920762845429</c:v>
                </c:pt>
                <c:pt idx="5">
                  <c:v>549.21228801319046</c:v>
                </c:pt>
                <c:pt idx="6">
                  <c:v>534.10612467269652</c:v>
                </c:pt>
                <c:pt idx="7">
                  <c:v>519.54824035040406</c:v>
                </c:pt>
                <c:pt idx="8">
                  <c:v>505.50875913916798</c:v>
                </c:pt>
                <c:pt idx="9">
                  <c:v>491.96013863098727</c:v>
                </c:pt>
                <c:pt idx="10">
                  <c:v>478.87693525782538</c:v>
                </c:pt>
                <c:pt idx="11">
                  <c:v>466.23559805378324</c:v>
                </c:pt>
                <c:pt idx="12">
                  <c:v>454.01428684422365</c:v>
                </c:pt>
                <c:pt idx="13">
                  <c:v>442.19271150279604</c:v>
                </c:pt>
                <c:pt idx="14">
                  <c:v>430.75198944037038</c:v>
                </c:pt>
                <c:pt idx="15">
                  <c:v>419.67451892239194</c:v>
                </c:pt>
                <c:pt idx="16">
                  <c:v>408.94386617030329</c:v>
                </c:pt>
                <c:pt idx="17">
                  <c:v>398.54466450210759</c:v>
                </c:pt>
                <c:pt idx="18">
                  <c:v>388.46252401774893</c:v>
                </c:pt>
                <c:pt idx="19">
                  <c:v>378.68395054550177</c:v>
                </c:pt>
                <c:pt idx="20">
                  <c:v>369.1962727430377</c:v>
                </c:pt>
                <c:pt idx="21">
                  <c:v>359.98757639697453</c:v>
                </c:pt>
                <c:pt idx="22">
                  <c:v>351.04664509211619</c:v>
                </c:pt>
                <c:pt idx="23">
                  <c:v>342.36290653007552</c:v>
                </c:pt>
                <c:pt idx="24">
                  <c:v>333.92638386961039</c:v>
                </c:pt>
                <c:pt idx="25">
                  <c:v>325.72765154032857</c:v>
                </c:pt>
                <c:pt idx="26">
                  <c:v>317.75779504957279</c:v>
                </c:pt>
                <c:pt idx="27">
                  <c:v>310.00837436096555</c:v>
                </c:pt>
                <c:pt idx="28">
                  <c:v>302.47139047377482</c:v>
                </c:pt>
              </c:numCache>
            </c:numRef>
          </c:xVal>
          <c:yVal>
            <c:numRef>
              <c:f>'Left-Warrant 2-lane'!$Z$162:$Z$190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3-E59D-4F5D-BA60-EE45107BD693}"/>
            </c:ext>
          </c:extLst>
        </c:ser>
        <c:ser>
          <c:idx val="0"/>
          <c:order val="4"/>
          <c:tx>
            <c:v>L = 5%</c:v>
          </c:tx>
          <c:spPr>
            <a:ln w="25400">
              <a:solidFill>
                <a:srgbClr val="000000"/>
              </a:solidFill>
              <a:prstDash val="solid"/>
            </a:ln>
          </c:spPr>
          <c:marker>
            <c:symbol val="none"/>
          </c:marker>
          <c:xVal>
            <c:numRef>
              <c:f>'Left-Warrant 2-lane'!$A$162:$A$190</c:f>
              <c:numCache>
                <c:formatCode>0</c:formatCode>
                <c:ptCount val="29"/>
                <c:pt idx="0">
                  <c:v>570.23561477179248</c:v>
                </c:pt>
                <c:pt idx="1">
                  <c:v>553.69310894873513</c:v>
                </c:pt>
                <c:pt idx="2">
                  <c:v>537.8191482388828</c:v>
                </c:pt>
                <c:pt idx="3">
                  <c:v>522.57196675014836</c:v>
                </c:pt>
                <c:pt idx="4">
                  <c:v>507.91351952500958</c:v>
                </c:pt>
                <c:pt idx="5">
                  <c:v>493.80905903949406</c:v>
                </c:pt>
                <c:pt idx="6">
                  <c:v>480.22676951743773</c:v>
                </c:pt>
                <c:pt idx="7">
                  <c:v>467.13744993064722</c:v>
                </c:pt>
                <c:pt idx="8">
                  <c:v>454.51423818241216</c:v>
                </c:pt>
                <c:pt idx="9">
                  <c:v>442.33237027732412</c:v>
                </c:pt>
                <c:pt idx="10">
                  <c:v>430.56896933395649</c:v>
                </c:pt>
                <c:pt idx="11">
                  <c:v>419.20286015181978</c:v>
                </c:pt>
                <c:pt idx="12">
                  <c:v>408.21440574113399</c:v>
                </c:pt>
                <c:pt idx="13">
                  <c:v>397.58536279522178</c:v>
                </c:pt>
                <c:pt idx="14">
                  <c:v>387.29875355562103</c:v>
                </c:pt>
                <c:pt idx="15">
                  <c:v>377.33875190888205</c:v>
                </c:pt>
                <c:pt idx="16">
                  <c:v>367.69058187693037</c:v>
                </c:pt>
                <c:pt idx="17">
                  <c:v>358.34042693208994</c:v>
                </c:pt>
                <c:pt idx="18">
                  <c:v>349.27534879318722</c:v>
                </c:pt>
                <c:pt idx="19">
                  <c:v>340.48321454843597</c:v>
                </c:pt>
                <c:pt idx="20">
                  <c:v>331.95263111037542</c:v>
                </c:pt>
                <c:pt idx="21">
                  <c:v>323.67288614312395</c:v>
                </c:pt>
                <c:pt idx="22">
                  <c:v>315.63389471676533</c:v>
                </c:pt>
                <c:pt idx="23">
                  <c:v>307.8261510412209</c:v>
                </c:pt>
                <c:pt idx="24">
                  <c:v>300.24068471525698</c:v>
                </c:pt>
                <c:pt idx="25">
                  <c:v>292.86902099759794</c:v>
                </c:pt>
                <c:pt idx="26">
                  <c:v>285.70314466839716</c:v>
                </c:pt>
                <c:pt idx="27">
                  <c:v>278.73546710206705</c:v>
                </c:pt>
                <c:pt idx="28">
                  <c:v>271.95879621803886</c:v>
                </c:pt>
              </c:numCache>
            </c:numRef>
          </c:xVal>
          <c:yVal>
            <c:numRef>
              <c:f>'Left-Warrant 2-lane'!$B$162:$B$190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4-E59D-4F5D-BA60-EE45107BD693}"/>
            </c:ext>
          </c:extLst>
        </c:ser>
        <c:ser>
          <c:idx val="1"/>
          <c:order val="5"/>
          <c:tx>
            <c:v>L = 10%</c:v>
          </c:tx>
          <c:spPr>
            <a:ln w="25400">
              <a:solidFill>
                <a:srgbClr val="000000"/>
              </a:solidFill>
              <a:prstDash val="solid"/>
            </a:ln>
          </c:spPr>
          <c:marker>
            <c:symbol val="none"/>
          </c:marker>
          <c:xVal>
            <c:numRef>
              <c:f>'Left-Warrant 2-lane'!$E$162:$E$190</c:f>
              <c:numCache>
                <c:formatCode>0</c:formatCode>
                <c:ptCount val="29"/>
                <c:pt idx="0">
                  <c:v>414.2665697996722</c:v>
                </c:pt>
                <c:pt idx="1">
                  <c:v>402.24871794039876</c:v>
                </c:pt>
                <c:pt idx="2">
                  <c:v>390.71655284573518</c:v>
                </c:pt>
                <c:pt idx="3">
                  <c:v>379.63973229853229</c:v>
                </c:pt>
                <c:pt idx="4">
                  <c:v>368.99061727793156</c:v>
                </c:pt>
                <c:pt idx="5">
                  <c:v>358.74396429301078</c:v>
                </c:pt>
                <c:pt idx="6">
                  <c:v>348.87665971825157</c:v>
                </c:pt>
                <c:pt idx="7">
                  <c:v>339.36748949849709</c:v>
                </c:pt>
                <c:pt idx="8">
                  <c:v>330.19693877291843</c:v>
                </c:pt>
                <c:pt idx="9">
                  <c:v>321.34701691594501</c:v>
                </c:pt>
                <c:pt idx="10">
                  <c:v>312.8011042585299</c:v>
                </c:pt>
                <c:pt idx="11">
                  <c:v>304.54381737416605</c:v>
                </c:pt>
                <c:pt idx="12">
                  <c:v>296.56089032051881</c:v>
                </c:pt>
                <c:pt idx="13">
                  <c:v>288.83906964255459</c:v>
                </c:pt>
                <c:pt idx="14">
                  <c:v>281.36602128470264</c:v>
                </c:pt>
                <c:pt idx="15">
                  <c:v>274.13024784209699</c:v>
                </c:pt>
                <c:pt idx="16">
                  <c:v>267.12101481553458</c:v>
                </c:pt>
                <c:pt idx="17">
                  <c:v>260.32828473036676</c:v>
                </c:pt>
                <c:pt idx="18">
                  <c:v>253.74265814323732</c:v>
                </c:pt>
                <c:pt idx="19">
                  <c:v>247.35532069808502</c:v>
                </c:pt>
                <c:pt idx="20">
                  <c:v>241.15799550876037</c:v>
                </c:pt>
                <c:pt idx="21">
                  <c:v>235.1429002436706</c:v>
                </c:pt>
                <c:pt idx="22">
                  <c:v>229.30270837108941</c:v>
                </c:pt>
                <c:pt idx="23">
                  <c:v>223.63051409462827</c:v>
                </c:pt>
                <c:pt idx="24">
                  <c:v>218.119800568877</c:v>
                </c:pt>
                <c:pt idx="25">
                  <c:v>212.76441103703684</c:v>
                </c:pt>
                <c:pt idx="26">
                  <c:v>207.55852257688741</c:v>
                </c:pt>
                <c:pt idx="27">
                  <c:v>202.49662217975271</c:v>
                </c:pt>
                <c:pt idx="28">
                  <c:v>197.57348492023382</c:v>
                </c:pt>
              </c:numCache>
            </c:numRef>
          </c:xVal>
          <c:yVal>
            <c:numRef>
              <c:f>'Left-Warrant 2-lane'!$F$162:$F$190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5-E59D-4F5D-BA60-EE45107BD693}"/>
            </c:ext>
          </c:extLst>
        </c:ser>
        <c:ser>
          <c:idx val="2"/>
          <c:order val="6"/>
          <c:tx>
            <c:v>L = 15%</c:v>
          </c:tx>
          <c:spPr>
            <a:ln w="25400">
              <a:solidFill>
                <a:srgbClr val="000000"/>
              </a:solidFill>
              <a:prstDash val="solid"/>
            </a:ln>
          </c:spPr>
          <c:marker>
            <c:symbol val="none"/>
          </c:marker>
          <c:xVal>
            <c:numRef>
              <c:f>'Left-Warrant 2-lane'!$I$162:$I$190</c:f>
              <c:numCache>
                <c:formatCode>0</c:formatCode>
                <c:ptCount val="29"/>
                <c:pt idx="0">
                  <c:v>348.05353630144822</c:v>
                </c:pt>
                <c:pt idx="1">
                  <c:v>337.95652113464456</c:v>
                </c:pt>
                <c:pt idx="2">
                  <c:v>328.26756446997621</c:v>
                </c:pt>
                <c:pt idx="3">
                  <c:v>318.96117374601602</c:v>
                </c:pt>
                <c:pt idx="4">
                  <c:v>310.01412754049358</c:v>
                </c:pt>
                <c:pt idx="5">
                  <c:v>301.40521707885512</c:v>
                </c:pt>
                <c:pt idx="6">
                  <c:v>293.11502303141089</c:v>
                </c:pt>
                <c:pt idx="7">
                  <c:v>285.12572202679814</c:v>
                </c:pt>
                <c:pt idx="8">
                  <c:v>277.42091830244033</c:v>
                </c:pt>
                <c:pt idx="9">
                  <c:v>269.98549670952588</c:v>
                </c:pt>
                <c:pt idx="10">
                  <c:v>262.8054939331131</c:v>
                </c:pt>
                <c:pt idx="11">
                  <c:v>255.86798530974488</c:v>
                </c:pt>
                <c:pt idx="12">
                  <c:v>249.16098505046247</c:v>
                </c:pt>
                <c:pt idx="13">
                  <c:v>242.67335802578916</c:v>
                </c:pt>
                <c:pt idx="14">
                  <c:v>236.39474155630217</c:v>
                </c:pt>
                <c:pt idx="15">
                  <c:v>230.31547588977048</c:v>
                </c:pt>
                <c:pt idx="16">
                  <c:v>224.42654224292642</c:v>
                </c:pt>
                <c:pt idx="17">
                  <c:v>218.71950745026345</c:v>
                </c:pt>
                <c:pt idx="18">
                  <c:v>213.18647439978176</c:v>
                </c:pt>
                <c:pt idx="19">
                  <c:v>207.82003755113391</c:v>
                </c:pt>
                <c:pt idx="20">
                  <c:v>202.61324292902003</c:v>
                </c:pt>
                <c:pt idx="21">
                  <c:v>197.55955206707822</c:v>
                </c:pt>
                <c:pt idx="22">
                  <c:v>192.65280944743157</c:v>
                </c:pt>
                <c:pt idx="23">
                  <c:v>187.88721304059186</c:v>
                </c:pt>
                <c:pt idx="24">
                  <c:v>183.25728760125588</c:v>
                </c:pt>
                <c:pt idx="25">
                  <c:v>178.75786041906719</c:v>
                </c:pt>
                <c:pt idx="26">
                  <c:v>174.38403926081611</c:v>
                </c:pt>
                <c:pt idx="27">
                  <c:v>170.13119227275138</c:v>
                </c:pt>
                <c:pt idx="28">
                  <c:v>165.99492963948705</c:v>
                </c:pt>
              </c:numCache>
            </c:numRef>
          </c:xVal>
          <c:yVal>
            <c:numRef>
              <c:f>'Left-Warrant 2-lane'!$J$162:$J$190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6-E59D-4F5D-BA60-EE45107BD693}"/>
            </c:ext>
          </c:extLst>
        </c:ser>
        <c:ser>
          <c:idx val="3"/>
          <c:order val="7"/>
          <c:tx>
            <c:v>L = 20%</c:v>
          </c:tx>
          <c:spPr>
            <a:ln w="25400">
              <a:solidFill>
                <a:srgbClr val="000000"/>
              </a:solidFill>
            </a:ln>
          </c:spPr>
          <c:marker>
            <c:symbol val="none"/>
          </c:marker>
          <c:xVal>
            <c:numRef>
              <c:f>'Left-Warrant 2-lane'!$M$162:$M$190</c:f>
              <c:numCache>
                <c:formatCode>0</c:formatCode>
                <c:ptCount val="29"/>
                <c:pt idx="0">
                  <c:v>310.69992734975409</c:v>
                </c:pt>
                <c:pt idx="1">
                  <c:v>301.68653845529906</c:v>
                </c:pt>
                <c:pt idx="2">
                  <c:v>293.03741463430134</c:v>
                </c:pt>
                <c:pt idx="3">
                  <c:v>284.72979922389925</c:v>
                </c:pt>
                <c:pt idx="4">
                  <c:v>276.74296295844869</c:v>
                </c:pt>
                <c:pt idx="5">
                  <c:v>269.05797321975808</c:v>
                </c:pt>
                <c:pt idx="6">
                  <c:v>261.65749478868872</c:v>
                </c:pt>
                <c:pt idx="7">
                  <c:v>254.52561712387279</c:v>
                </c:pt>
                <c:pt idx="8">
                  <c:v>247.64770407968879</c:v>
                </c:pt>
                <c:pt idx="9">
                  <c:v>241.01026268695873</c:v>
                </c:pt>
                <c:pt idx="10">
                  <c:v>234.60082819389743</c:v>
                </c:pt>
                <c:pt idx="11">
                  <c:v>228.40786303062453</c:v>
                </c:pt>
                <c:pt idx="12">
                  <c:v>222.42066774038906</c:v>
                </c:pt>
                <c:pt idx="13">
                  <c:v>216.62930223191594</c:v>
                </c:pt>
                <c:pt idx="14">
                  <c:v>211.02451596352699</c:v>
                </c:pt>
                <c:pt idx="15">
                  <c:v>205.59768588157277</c:v>
                </c:pt>
                <c:pt idx="16">
                  <c:v>200.34076111165092</c:v>
                </c:pt>
                <c:pt idx="17">
                  <c:v>195.24621354777508</c:v>
                </c:pt>
                <c:pt idx="18">
                  <c:v>190.30699360742798</c:v>
                </c:pt>
                <c:pt idx="19">
                  <c:v>185.51649052356376</c:v>
                </c:pt>
                <c:pt idx="20">
                  <c:v>180.86849663157028</c:v>
                </c:pt>
                <c:pt idx="21">
                  <c:v>176.35717518275297</c:v>
                </c:pt>
                <c:pt idx="22">
                  <c:v>171.97703127831704</c:v>
                </c:pt>
                <c:pt idx="23">
                  <c:v>167.72288557097119</c:v>
                </c:pt>
                <c:pt idx="24">
                  <c:v>163.58985042665776</c:v>
                </c:pt>
                <c:pt idx="25">
                  <c:v>159.57330827777761</c:v>
                </c:pt>
                <c:pt idx="26">
                  <c:v>155.66889193266556</c:v>
                </c:pt>
                <c:pt idx="27">
                  <c:v>151.87246663481451</c:v>
                </c:pt>
                <c:pt idx="28">
                  <c:v>148.18011369017538</c:v>
                </c:pt>
              </c:numCache>
            </c:numRef>
          </c:xVal>
          <c:yVal>
            <c:numRef>
              <c:f>'Left-Warrant 2-lane'!$N$162:$N$190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7-E59D-4F5D-BA60-EE45107BD693}"/>
            </c:ext>
          </c:extLst>
        </c:ser>
        <c:ser>
          <c:idx val="4"/>
          <c:order val="8"/>
          <c:tx>
            <c:v>L = 30%</c:v>
          </c:tx>
          <c:spPr>
            <a:ln w="25400">
              <a:solidFill>
                <a:srgbClr val="000000"/>
              </a:solidFill>
              <a:prstDash val="solid"/>
            </a:ln>
          </c:spPr>
          <c:marker>
            <c:symbol val="none"/>
          </c:marker>
          <c:xVal>
            <c:numRef>
              <c:f>'Left-Warrant 2-lane'!$Q$162:$Q$190</c:f>
              <c:numCache>
                <c:formatCode>0</c:formatCode>
                <c:ptCount val="29"/>
                <c:pt idx="0">
                  <c:v>271.20113057095784</c:v>
                </c:pt>
                <c:pt idx="1">
                  <c:v>263.33359973725987</c:v>
                </c:pt>
                <c:pt idx="2">
                  <c:v>255.78402552682786</c:v>
                </c:pt>
                <c:pt idx="3">
                  <c:v>248.53254429582799</c:v>
                </c:pt>
                <c:pt idx="4">
                  <c:v>241.56106205780026</c:v>
                </c:pt>
                <c:pt idx="5">
                  <c:v>234.85305306875102</c:v>
                </c:pt>
                <c:pt idx="6">
                  <c:v>228.39338590889133</c:v>
                </c:pt>
                <c:pt idx="7">
                  <c:v>222.16817271914201</c:v>
                </c:pt>
                <c:pt idx="8">
                  <c:v>216.16463802422822</c:v>
                </c:pt>
                <c:pt idx="9">
                  <c:v>210.37100419508181</c:v>
                </c:pt>
                <c:pt idx="10">
                  <c:v>204.7763911043553</c:v>
                </c:pt>
                <c:pt idx="11">
                  <c:v>199.37072793541762</c:v>
                </c:pt>
                <c:pt idx="12">
                  <c:v>194.14467543675343</c:v>
                </c:pt>
                <c:pt idx="13">
                  <c:v>189.08955718537544</c:v>
                </c:pt>
                <c:pt idx="14">
                  <c:v>184.19729864652945</c:v>
                </c:pt>
                <c:pt idx="15">
                  <c:v>179.46037300191637</c:v>
                </c:pt>
                <c:pt idx="16">
                  <c:v>174.87175287222965</c:v>
                </c:pt>
                <c:pt idx="17">
                  <c:v>170.42486718784608</c:v>
                </c:pt>
                <c:pt idx="18">
                  <c:v>166.11356256866972</c:v>
                </c:pt>
                <c:pt idx="19">
                  <c:v>161.93206866415025</c:v>
                </c:pt>
                <c:pt idx="20">
                  <c:v>157.87496698038785</c:v>
                </c:pt>
                <c:pt idx="21">
                  <c:v>153.93716278543869</c:v>
                </c:pt>
                <c:pt idx="22">
                  <c:v>150.11385973841448</c:v>
                </c:pt>
                <c:pt idx="23">
                  <c:v>146.40053693436042</c:v>
                </c:pt>
                <c:pt idx="24">
                  <c:v>142.79292809650724</c:v>
                </c:pt>
                <c:pt idx="25">
                  <c:v>139.28700268141702</c:v>
                </c:pt>
                <c:pt idx="26">
                  <c:v>135.87894869168392</c:v>
                </c:pt>
                <c:pt idx="27">
                  <c:v>132.56515701594151</c:v>
                </c:pt>
                <c:pt idx="28">
                  <c:v>129.34220713759825</c:v>
                </c:pt>
              </c:numCache>
            </c:numRef>
          </c:xVal>
          <c:yVal>
            <c:numRef>
              <c:f>'Left-Warrant 2-lane'!$R$162:$R$190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8-E59D-4F5D-BA60-EE45107BD693}"/>
            </c:ext>
          </c:extLst>
        </c:ser>
        <c:ser>
          <c:idx val="5"/>
          <c:order val="9"/>
          <c:tx>
            <c:v>L = 40%</c:v>
          </c:tx>
          <c:spPr>
            <a:ln w="25400">
              <a:solidFill>
                <a:srgbClr val="000000"/>
              </a:solidFill>
            </a:ln>
          </c:spPr>
          <c:marker>
            <c:symbol val="none"/>
          </c:marker>
          <c:xVal>
            <c:numRef>
              <c:f>'Left-Warrant 2-lane'!$U$162:$U$190</c:f>
              <c:numCache>
                <c:formatCode>0</c:formatCode>
                <c:ptCount val="29"/>
                <c:pt idx="0">
                  <c:v>253.68542837556711</c:v>
                </c:pt>
                <c:pt idx="1">
                  <c:v>246.32602716067265</c:v>
                </c:pt>
                <c:pt idx="2">
                  <c:v>239.26404713280746</c:v>
                </c:pt>
                <c:pt idx="3">
                  <c:v>232.48090755455164</c:v>
                </c:pt>
                <c:pt idx="4">
                  <c:v>225.95968305138169</c:v>
                </c:pt>
                <c:pt idx="5">
                  <c:v>219.68491520527616</c:v>
                </c:pt>
                <c:pt idx="6">
                  <c:v>213.64244986907863</c:v>
                </c:pt>
                <c:pt idx="7">
                  <c:v>207.81929614016164</c:v>
                </c:pt>
                <c:pt idx="8">
                  <c:v>202.20350365566719</c:v>
                </c:pt>
                <c:pt idx="9">
                  <c:v>196.78405545239491</c:v>
                </c:pt>
                <c:pt idx="10">
                  <c:v>191.55077410313015</c:v>
                </c:pt>
                <c:pt idx="11">
                  <c:v>186.49423922151328</c:v>
                </c:pt>
                <c:pt idx="12">
                  <c:v>181.60571473768945</c:v>
                </c:pt>
                <c:pt idx="13">
                  <c:v>176.87708460111838</c:v>
                </c:pt>
                <c:pt idx="14">
                  <c:v>172.30079577614816</c:v>
                </c:pt>
                <c:pt idx="15">
                  <c:v>167.86980756895679</c:v>
                </c:pt>
                <c:pt idx="16">
                  <c:v>163.57754646812131</c:v>
                </c:pt>
                <c:pt idx="17">
                  <c:v>159.41786580084303</c:v>
                </c:pt>
                <c:pt idx="18">
                  <c:v>155.38500960709956</c:v>
                </c:pt>
                <c:pt idx="19">
                  <c:v>151.47358021820068</c:v>
                </c:pt>
                <c:pt idx="20">
                  <c:v>147.67850909721506</c:v>
                </c:pt>
                <c:pt idx="21">
                  <c:v>143.99503055878981</c:v>
                </c:pt>
                <c:pt idx="22">
                  <c:v>140.41865803684647</c:v>
                </c:pt>
                <c:pt idx="23">
                  <c:v>136.94516261203023</c:v>
                </c:pt>
                <c:pt idx="24">
                  <c:v>133.57055354784416</c:v>
                </c:pt>
                <c:pt idx="25">
                  <c:v>130.29106061613143</c:v>
                </c:pt>
                <c:pt idx="26">
                  <c:v>127.10311801982911</c:v>
                </c:pt>
                <c:pt idx="27">
                  <c:v>124.00334974438621</c:v>
                </c:pt>
                <c:pt idx="28">
                  <c:v>120.98855618950991</c:v>
                </c:pt>
              </c:numCache>
            </c:numRef>
          </c:xVal>
          <c:yVal>
            <c:numRef>
              <c:f>'Left-Warrant 2-lane'!$V$162:$V$190</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9-E59D-4F5D-BA60-EE45107BD693}"/>
            </c:ext>
          </c:extLst>
        </c:ser>
        <c:ser>
          <c:idx val="14"/>
          <c:order val="10"/>
          <c:tx>
            <c:v>Volume Data Point</c:v>
          </c:tx>
          <c:spPr>
            <a:ln w="28575">
              <a:noFill/>
            </a:ln>
          </c:spPr>
          <c:marker>
            <c:symbol val="circle"/>
            <c:size val="4"/>
            <c:spPr>
              <a:solidFill>
                <a:srgbClr val="FF0000"/>
              </a:solidFill>
              <a:ln>
                <a:noFill/>
                <a:prstDash val="solid"/>
              </a:ln>
            </c:spPr>
          </c:marker>
          <c:dLbls>
            <c:spPr>
              <a:solidFill>
                <a:sysClr val="window" lastClr="FFFFFF">
                  <a:lumMod val="75000"/>
                </a:sysClr>
              </a:solidFill>
              <a:ln>
                <a:solidFill>
                  <a:sysClr val="windowText" lastClr="000000"/>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'Inputs&amp;Findings'!$BR$5</c:f>
              <c:numCache>
                <c:formatCode>0</c:formatCode>
                <c:ptCount val="1"/>
                <c:pt idx="0">
                  <c:v>0</c:v>
                </c:pt>
              </c:numCache>
            </c:numRef>
          </c:xVal>
          <c:yVal>
            <c:numRef>
              <c:f>'Inputs&amp;Findings'!$BR$6</c:f>
              <c:numCache>
                <c:formatCode>0</c:formatCode>
                <c:ptCount val="1"/>
                <c:pt idx="0">
                  <c:v>0</c:v>
                </c:pt>
              </c:numCache>
            </c:numRef>
          </c:yVal>
          <c:smooth val="1"/>
          <c:extLst>
            <c:ext xmlns:c16="http://schemas.microsoft.com/office/drawing/2014/chart" uri="{C3380CC4-5D6E-409C-BE32-E72D297353CC}">
              <c16:uniqueId val="{0000000A-E59D-4F5D-BA60-EE45107BD693}"/>
            </c:ext>
          </c:extLst>
        </c:ser>
        <c:ser>
          <c:idx val="10"/>
          <c:order val="11"/>
          <c:tx>
            <c:v>Graph Line X</c:v>
          </c:tx>
          <c:spPr>
            <a:ln w="19050">
              <a:solidFill>
                <a:srgbClr val="FF0000"/>
              </a:solidFill>
              <a:prstDash val="sysDash"/>
            </a:ln>
          </c:spPr>
          <c:marker>
            <c:symbol val="none"/>
          </c:marker>
          <c:xVal>
            <c:numRef>
              <c:f>'Inputs&amp;Findings'!$BN$33:$BN$34</c:f>
              <c:numCache>
                <c:formatCode>0</c:formatCode>
                <c:ptCount val="2"/>
                <c:pt idx="0" formatCode="General">
                  <c:v>0</c:v>
                </c:pt>
                <c:pt idx="1">
                  <c:v>0</c:v>
                </c:pt>
              </c:numCache>
            </c:numRef>
          </c:xVal>
          <c:yVal>
            <c:numRef>
              <c:f>'Inputs&amp;Findings'!$BO$33:$BO$34</c:f>
              <c:numCache>
                <c:formatCode>0</c:formatCode>
                <c:ptCount val="2"/>
                <c:pt idx="0">
                  <c:v>0</c:v>
                </c:pt>
                <c:pt idx="1">
                  <c:v>0</c:v>
                </c:pt>
              </c:numCache>
            </c:numRef>
          </c:yVal>
          <c:smooth val="1"/>
          <c:extLst>
            <c:ext xmlns:c16="http://schemas.microsoft.com/office/drawing/2014/chart" uri="{C3380CC4-5D6E-409C-BE32-E72D297353CC}">
              <c16:uniqueId val="{0000000B-E59D-4F5D-BA60-EE45107BD693}"/>
            </c:ext>
          </c:extLst>
        </c:ser>
        <c:ser>
          <c:idx val="11"/>
          <c:order val="12"/>
          <c:tx>
            <c:v>Graph Line Y</c:v>
          </c:tx>
          <c:spPr>
            <a:ln w="19050">
              <a:solidFill>
                <a:srgbClr val="FF0000"/>
              </a:solidFill>
              <a:prstDash val="sysDash"/>
            </a:ln>
          </c:spPr>
          <c:marker>
            <c:symbol val="none"/>
          </c:marker>
          <c:xVal>
            <c:numRef>
              <c:f>'Inputs&amp;Findings'!$BP$33:$BP$34</c:f>
              <c:numCache>
                <c:formatCode>0</c:formatCode>
                <c:ptCount val="2"/>
                <c:pt idx="0">
                  <c:v>0</c:v>
                </c:pt>
                <c:pt idx="1">
                  <c:v>0</c:v>
                </c:pt>
              </c:numCache>
            </c:numRef>
          </c:xVal>
          <c:yVal>
            <c:numRef>
              <c:f>'Inputs&amp;Findings'!$BQ$33:$BQ$34</c:f>
              <c:numCache>
                <c:formatCode>0</c:formatCode>
                <c:ptCount val="2"/>
                <c:pt idx="0" formatCode="General">
                  <c:v>0</c:v>
                </c:pt>
                <c:pt idx="1">
                  <c:v>0</c:v>
                </c:pt>
              </c:numCache>
            </c:numRef>
          </c:yVal>
          <c:smooth val="1"/>
          <c:extLst>
            <c:ext xmlns:c16="http://schemas.microsoft.com/office/drawing/2014/chart" uri="{C3380CC4-5D6E-409C-BE32-E72D297353CC}">
              <c16:uniqueId val="{0000000C-E59D-4F5D-BA60-EE45107BD693}"/>
            </c:ext>
          </c:extLst>
        </c:ser>
        <c:ser>
          <c:idx val="12"/>
          <c:order val="13"/>
          <c:tx>
            <c:strRef>
              <c:f>'Inputs&amp;Findings'!$BJ$24</c:f>
              <c:strCache>
                <c:ptCount val="1"/>
                <c:pt idx="0">
                  <c:v>N/A</c:v>
                </c:pt>
              </c:strCache>
            </c:strRef>
          </c:tx>
          <c:spPr>
            <a:ln w="19050">
              <a:solidFill>
                <a:srgbClr val="FF0000"/>
              </a:solidFill>
            </a:ln>
          </c:spPr>
          <c:marker>
            <c:symbol val="none"/>
          </c:marker>
          <c:xVal>
            <c:numRef>
              <c:f>'Inputs&amp;Findings'!$BJ$27:$BJ$34</c:f>
              <c:numCache>
                <c:formatCode>0</c:formatCode>
                <c:ptCount val="8"/>
                <c:pt idx="0">
                  <c:v>0</c:v>
                </c:pt>
                <c:pt idx="1">
                  <c:v>0</c:v>
                </c:pt>
                <c:pt idx="2">
                  <c:v>0</c:v>
                </c:pt>
                <c:pt idx="3">
                  <c:v>0</c:v>
                </c:pt>
                <c:pt idx="4">
                  <c:v>0</c:v>
                </c:pt>
                <c:pt idx="5">
                  <c:v>0</c:v>
                </c:pt>
                <c:pt idx="6">
                  <c:v>0</c:v>
                </c:pt>
                <c:pt idx="7">
                  <c:v>0</c:v>
                </c:pt>
              </c:numCache>
            </c:numRef>
          </c:xVal>
          <c:yVal>
            <c:numRef>
              <c:f>'Inputs&amp;Findings'!$BE$27:$BE$34</c:f>
              <c:numCache>
                <c:formatCode>0</c:formatCode>
                <c:ptCount val="8"/>
                <c:pt idx="0">
                  <c:v>100</c:v>
                </c:pt>
                <c:pt idx="1">
                  <c:v>200</c:v>
                </c:pt>
                <c:pt idx="2">
                  <c:v>300</c:v>
                </c:pt>
                <c:pt idx="3">
                  <c:v>400</c:v>
                </c:pt>
                <c:pt idx="4">
                  <c:v>500</c:v>
                </c:pt>
                <c:pt idx="5">
                  <c:v>600</c:v>
                </c:pt>
                <c:pt idx="6">
                  <c:v>700</c:v>
                </c:pt>
                <c:pt idx="7">
                  <c:v>800</c:v>
                </c:pt>
              </c:numCache>
            </c:numRef>
          </c:yVal>
          <c:smooth val="1"/>
          <c:extLst>
            <c:ext xmlns:c16="http://schemas.microsoft.com/office/drawing/2014/chart" uri="{C3380CC4-5D6E-409C-BE32-E72D297353CC}">
              <c16:uniqueId val="{0000000D-E59D-4F5D-BA60-EE45107BD693}"/>
            </c:ext>
          </c:extLst>
        </c:ser>
        <c:dLbls>
          <c:showLegendKey val="0"/>
          <c:showVal val="0"/>
          <c:showCatName val="0"/>
          <c:showSerName val="0"/>
          <c:showPercent val="0"/>
          <c:showBubbleSize val="0"/>
        </c:dLbls>
        <c:axId val="490295576"/>
        <c:axId val="490295968"/>
      </c:scatterChart>
      <c:valAx>
        <c:axId val="490295576"/>
        <c:scaling>
          <c:orientation val="minMax"/>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(VPH)</a:t>
                </a:r>
              </a:p>
            </c:rich>
          </c:tx>
          <c:layout>
            <c:manualLayout>
              <c:xMode val="edge"/>
              <c:yMode val="edge"/>
              <c:x val="0.43618196554862326"/>
              <c:y val="0.9445351409633525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5968"/>
        <c:crosses val="autoZero"/>
        <c:crossBetween val="midCat"/>
      </c:valAx>
      <c:valAx>
        <c:axId val="490295968"/>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Opposing Volume (VPH)</a:t>
                </a:r>
              </a:p>
            </c:rich>
          </c:tx>
          <c:layout>
            <c:manualLayout>
              <c:xMode val="edge"/>
              <c:yMode val="edge"/>
              <c:x val="1.220867458457325E-2"/>
              <c:y val="0.39314853237453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5576"/>
        <c:crosses val="autoZero"/>
        <c:crossBetween val="midCat"/>
      </c:valAx>
      <c:spPr>
        <a:noFill/>
        <a:ln w="12700">
          <a:solidFill>
            <a:srgbClr val="808080"/>
          </a:solidFill>
          <a:prstDash val="solid"/>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1"/>
        <c:delete val="1"/>
      </c:legendEntry>
      <c:legendEntry>
        <c:idx val="12"/>
        <c:delete val="1"/>
      </c:legendEntry>
      <c:layout>
        <c:manualLayout>
          <c:xMode val="edge"/>
          <c:yMode val="edge"/>
          <c:x val="0.80713489409141581"/>
          <c:y val="0.44026186579378068"/>
          <c:w val="0.16851727982162831"/>
          <c:h val="7.4471263923433798E-2"/>
        </c:manualLayout>
      </c:layout>
      <c:overlay val="0"/>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Figure 6. Warrant for left turn storage lanes on two-lane highways</a:t>
            </a:r>
          </a:p>
          <a:p>
            <a:pPr>
              <a:defRPr sz="10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 (60 mph speed, unsignalized and signalized intersections)</a:t>
            </a:r>
          </a:p>
          <a:p>
            <a:pPr>
              <a:defRPr sz="1000" b="0" i="0" u="none" strike="noStrike" baseline="0">
                <a:solidFill>
                  <a:srgbClr val="000000"/>
                </a:solidFill>
                <a:latin typeface="Arial"/>
                <a:ea typeface="Arial"/>
                <a:cs typeface="Arial"/>
              </a:defRPr>
            </a:pPr>
            <a:r>
              <a:rPr lang="en-US" sz="900" b="0" i="0" u="none" strike="noStrike" baseline="0">
                <a:solidFill>
                  <a:srgbClr val="000000"/>
                </a:solidFill>
                <a:latin typeface="Arial"/>
                <a:cs typeface="Arial"/>
              </a:rPr>
              <a:t>(L = % Left Turns in Advancing Volume)</a:t>
            </a:r>
          </a:p>
        </c:rich>
      </c:tx>
      <c:overlay val="1"/>
      <c:spPr>
        <a:noFill/>
        <a:ln w="25400">
          <a:noFill/>
        </a:ln>
      </c:spPr>
    </c:title>
    <c:autoTitleDeleted val="0"/>
    <c:plotArea>
      <c:layout>
        <c:manualLayout>
          <c:layoutTarget val="inner"/>
          <c:xMode val="edge"/>
          <c:yMode val="edge"/>
          <c:x val="7.6923076923076927E-2"/>
          <c:y val="0.14729950900163671"/>
          <c:w val="0.71460423634337378"/>
          <c:h val="0.74631751227495913"/>
        </c:manualLayout>
      </c:layout>
      <c:scatterChart>
        <c:scatterStyle val="smoothMarker"/>
        <c:varyColors val="0"/>
        <c:ser>
          <c:idx val="9"/>
          <c:order val="0"/>
          <c:tx>
            <c:v>L = 1%</c:v>
          </c:tx>
          <c:spPr>
            <a:ln w="25400">
              <a:solidFill>
                <a:sysClr val="windowText" lastClr="000000"/>
              </a:solidFill>
            </a:ln>
          </c:spPr>
          <c:marker>
            <c:symbol val="none"/>
          </c:marker>
          <c:xVal>
            <c:numRef>
              <c:f>'Left-Warrant 2-lane'!$AK$66:$AK$94</c:f>
              <c:numCache>
                <c:formatCode>0</c:formatCode>
                <c:ptCount val="29"/>
                <c:pt idx="0">
                  <c:v>1095.4987076927796</c:v>
                </c:pt>
                <c:pt idx="1">
                  <c:v>1063.7183465899184</c:v>
                </c:pt>
                <c:pt idx="2">
                  <c:v>1033.222349859569</c:v>
                </c:pt>
                <c:pt idx="3">
                  <c:v>1003.9304796498308</c:v>
                </c:pt>
                <c:pt idx="4">
                  <c:v>975.76964652061815</c:v>
                </c:pt>
                <c:pt idx="5">
                  <c:v>948.67309584170312</c:v>
                </c:pt>
                <c:pt idx="6">
                  <c:v>922.57970526160636</c:v>
                </c:pt>
                <c:pt idx="7">
                  <c:v>897.43337570861047</c:v>
                </c:pt>
                <c:pt idx="8">
                  <c:v>873.18250151048096</c:v>
                </c:pt>
                <c:pt idx="9">
                  <c:v>849.77950772755332</c:v>
                </c:pt>
                <c:pt idx="10">
                  <c:v>827.18044481793731</c:v>
                </c:pt>
                <c:pt idx="11">
                  <c:v>805.34463239589354</c:v>
                </c:pt>
                <c:pt idx="12">
                  <c:v>784.23434518371209</c:v>
                </c:pt>
                <c:pt idx="13">
                  <c:v>763.81453535489629</c:v>
                </c:pt>
                <c:pt idx="14">
                  <c:v>744.05258636994381</c:v>
                </c:pt>
                <c:pt idx="15">
                  <c:v>724.91809415309547</c:v>
                </c:pt>
                <c:pt idx="16">
                  <c:v>706.38267207877766</c:v>
                </c:pt>
                <c:pt idx="17">
                  <c:v>688.41977675366002</c:v>
                </c:pt>
                <c:pt idx="18">
                  <c:v>671.00455201313514</c:v>
                </c:pt>
                <c:pt idx="19">
                  <c:v>654.11368891465793</c:v>
                </c:pt>
                <c:pt idx="20">
                  <c:v>637.72529981693253</c:v>
                </c:pt>
                <c:pt idx="21">
                  <c:v>621.81880489328626</c:v>
                </c:pt>
                <c:pt idx="22">
                  <c:v>606.37482964762637</c:v>
                </c:pt>
                <c:pt idx="23">
                  <c:v>591.37511218876796</c:v>
                </c:pt>
                <c:pt idx="24">
                  <c:v>576.80241917893864</c:v>
                </c:pt>
                <c:pt idx="25">
                  <c:v>562.64046950928662</c:v>
                </c:pt>
                <c:pt idx="26">
                  <c:v>548.87386487294282</c:v>
                </c:pt>
                <c:pt idx="27">
                  <c:v>535.48802650753419</c:v>
                </c:pt>
                <c:pt idx="28">
                  <c:v>522.46913746658379</c:v>
                </c:pt>
              </c:numCache>
            </c:numRef>
          </c:xVal>
          <c:yVal>
            <c:numRef>
              <c:f>'Left-Warrant 2-lane'!$AL$66:$AL$94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0-D9E0-4F39-8A28-D0E4887C70AD}"/>
            </c:ext>
          </c:extLst>
        </c:ser>
        <c:ser>
          <c:idx val="8"/>
          <c:order val="1"/>
          <c:tx>
            <c:v>L = 2%</c:v>
          </c:tx>
          <c:spPr>
            <a:ln w="25400">
              <a:solidFill>
                <a:sysClr val="windowText" lastClr="000000"/>
              </a:solidFill>
            </a:ln>
          </c:spPr>
          <c:marker>
            <c:symbol val="none"/>
          </c:marker>
          <c:xVal>
            <c:numRef>
              <c:f>'Left-Warrant 2-lane'!$AG$66:$AG$94</c:f>
              <c:numCache>
                <c:formatCode>0</c:formatCode>
                <c:ptCount val="29"/>
                <c:pt idx="0">
                  <c:v>778.5767510863235</c:v>
                </c:pt>
                <c:pt idx="1">
                  <c:v>755.99027962628156</c:v>
                </c:pt>
                <c:pt idx="2">
                  <c:v>734.31661274860869</c:v>
                </c:pt>
                <c:pt idx="3">
                  <c:v>713.49872498571767</c:v>
                </c:pt>
                <c:pt idx="4">
                  <c:v>693.48467128427308</c:v>
                </c:pt>
                <c:pt idx="5">
                  <c:v>674.22700877395641</c:v>
                </c:pt>
                <c:pt idx="6">
                  <c:v>655.68229747487612</c:v>
                </c:pt>
                <c:pt idx="7">
                  <c:v>637.81066747875195</c:v>
                </c:pt>
                <c:pt idx="8">
                  <c:v>620.57544236018623</c:v>
                </c:pt>
                <c:pt idx="9">
                  <c:v>603.94281035683105</c:v>
                </c:pt>
                <c:pt idx="10">
                  <c:v>587.88153629579529</c:v>
                </c:pt>
                <c:pt idx="11">
                  <c:v>572.36270841083081</c:v>
                </c:pt>
                <c:pt idx="12">
                  <c:v>557.35951514666431</c:v>
                </c:pt>
                <c:pt idx="13">
                  <c:v>542.84704782682297</c:v>
                </c:pt>
                <c:pt idx="14">
                  <c:v>528.80212570341587</c:v>
                </c:pt>
                <c:pt idx="15">
                  <c:v>515.20314043828853</c:v>
                </c:pt>
                <c:pt idx="16">
                  <c:v>502.02991750584931</c:v>
                </c:pt>
                <c:pt idx="17">
                  <c:v>489.26359237545398</c:v>
                </c:pt>
                <c:pt idx="18">
                  <c:v>476.88649963887502</c:v>
                </c:pt>
                <c:pt idx="19">
                  <c:v>464.88207350682313</c:v>
                </c:pt>
                <c:pt idx="20">
                  <c:v>453.2347583163575</c:v>
                </c:pt>
                <c:pt idx="21">
                  <c:v>441.92992787533734</c:v>
                </c:pt>
                <c:pt idx="22">
                  <c:v>430.95381262646788</c:v>
                </c:pt>
                <c:pt idx="23">
                  <c:v>420.29343374667292</c:v>
                </c:pt>
                <c:pt idx="24">
                  <c:v>409.93654341125034</c:v>
                </c:pt>
                <c:pt idx="25">
                  <c:v>399.87157054965036</c:v>
                </c:pt>
                <c:pt idx="26">
                  <c:v>390.08757150338187</c:v>
                </c:pt>
                <c:pt idx="27">
                  <c:v>380.5741850685809</c:v>
                </c:pt>
                <c:pt idx="28">
                  <c:v>371.32159146798745</c:v>
                </c:pt>
              </c:numCache>
            </c:numRef>
          </c:xVal>
          <c:yVal>
            <c:numRef>
              <c:f>'Left-Warrant 2-lane'!$AH$66:$AH$94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1-D9E0-4F39-8A28-D0E4887C70AD}"/>
            </c:ext>
          </c:extLst>
        </c:ser>
        <c:ser>
          <c:idx val="7"/>
          <c:order val="2"/>
          <c:tx>
            <c:v>L = 3%</c:v>
          </c:tx>
          <c:spPr>
            <a:ln w="25400">
              <a:solidFill>
                <a:srgbClr val="000000"/>
              </a:solidFill>
              <a:prstDash val="solid"/>
            </a:ln>
          </c:spPr>
          <c:marker>
            <c:symbol val="none"/>
          </c:marker>
          <c:xVal>
            <c:numRef>
              <c:f>'Left-Warrant 2-lane'!$AC$66:$AC$94</c:f>
              <c:numCache>
                <c:formatCode>0</c:formatCode>
                <c:ptCount val="29"/>
                <c:pt idx="0">
                  <c:v>638.97368427788251</c:v>
                </c:pt>
                <c:pt idx="1">
                  <c:v>620.43709059778155</c:v>
                </c:pt>
                <c:pt idx="2">
                  <c:v>602.64963064946539</c:v>
                </c:pt>
                <c:pt idx="3">
                  <c:v>585.5645039433598</c:v>
                </c:pt>
                <c:pt idx="4">
                  <c:v>569.13907945809979</c:v>
                </c:pt>
                <c:pt idx="5">
                  <c:v>553.33442108931581</c:v>
                </c:pt>
                <c:pt idx="6">
                  <c:v>538.11487788293357</c:v>
                </c:pt>
                <c:pt idx="7">
                  <c:v>523.44772882313782</c:v>
                </c:pt>
                <c:pt idx="8">
                  <c:v>509.30287376806103</c:v>
                </c:pt>
                <c:pt idx="9">
                  <c:v>495.6525635891436</c:v>
                </c:pt>
                <c:pt idx="10">
                  <c:v>482.47116375071084</c:v>
                </c:pt>
                <c:pt idx="11">
                  <c:v>469.73494652422102</c:v>
                </c:pt>
                <c:pt idx="12">
                  <c:v>457.42190781280095</c:v>
                </c:pt>
                <c:pt idx="13">
                  <c:v>445.51160520180849</c:v>
                </c:pt>
                <c:pt idx="14">
                  <c:v>433.98501437814514</c:v>
                </c:pt>
                <c:pt idx="15">
                  <c:v>422.82440149678814</c:v>
                </c:pt>
                <c:pt idx="16">
                  <c:v>412.01320943484933</c:v>
                </c:pt>
                <c:pt idx="17">
                  <c:v>401.53595617513366</c:v>
                </c:pt>
                <c:pt idx="18">
                  <c:v>391.37814381365973</c:v>
                </c:pt>
                <c:pt idx="19">
                  <c:v>381.52617689769869</c:v>
                </c:pt>
                <c:pt idx="20">
                  <c:v>371.96728897969507</c:v>
                </c:pt>
                <c:pt idx="21">
                  <c:v>362.68947642369892</c:v>
                </c:pt>
                <c:pt idx="22">
                  <c:v>353.68143862929628</c:v>
                </c:pt>
                <c:pt idx="23">
                  <c:v>344.93252394732485</c:v>
                </c:pt>
                <c:pt idx="24">
                  <c:v>336.43268065499262</c:v>
                </c:pt>
                <c:pt idx="25">
                  <c:v>328.17241243794126</c:v>
                </c:pt>
                <c:pt idx="26">
                  <c:v>320.14273789546019</c:v>
                </c:pt>
                <c:pt idx="27">
                  <c:v>312.3351536441678</c:v>
                </c:pt>
                <c:pt idx="28">
                  <c:v>304.74160064653705</c:v>
                </c:pt>
              </c:numCache>
            </c:numRef>
          </c:xVal>
          <c:yVal>
            <c:numRef>
              <c:f>'Left-Warrant 2-lane'!$AD$66:$AD$94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2-D9E0-4F39-8A28-D0E4887C70AD}"/>
            </c:ext>
          </c:extLst>
        </c:ser>
        <c:ser>
          <c:idx val="6"/>
          <c:order val="3"/>
          <c:tx>
            <c:v>L = 4%</c:v>
          </c:tx>
          <c:spPr>
            <a:ln w="25400">
              <a:solidFill>
                <a:sysClr val="windowText" lastClr="000000"/>
              </a:solidFill>
            </a:ln>
          </c:spPr>
          <c:marker>
            <c:symbol val="none"/>
          </c:marker>
          <c:xVal>
            <c:numRef>
              <c:f>'Left-Warrant 2-lane'!$Y$66:$Y$94</c:f>
              <c:numCache>
                <c:formatCode>0</c:formatCode>
                <c:ptCount val="29"/>
                <c:pt idx="0">
                  <c:v>556.2420983453253</c:v>
                </c:pt>
                <c:pt idx="1">
                  <c:v>540.1055437132726</c:v>
                </c:pt>
                <c:pt idx="2">
                  <c:v>524.6211281742095</c:v>
                </c:pt>
                <c:pt idx="3">
                  <c:v>509.74811076623911</c:v>
                </c:pt>
                <c:pt idx="4">
                  <c:v>495.44938015072239</c:v>
                </c:pt>
                <c:pt idx="5">
                  <c:v>481.69104150393048</c:v>
                </c:pt>
                <c:pt idx="6">
                  <c:v>468.44205980518848</c:v>
                </c:pt>
                <c:pt idx="7">
                  <c:v>455.67395061617776</c:v>
                </c:pt>
                <c:pt idx="8">
                  <c:v>443.36051103295284</c:v>
                </c:pt>
                <c:pt idx="9">
                  <c:v>431.47758476570522</c:v>
                </c:pt>
                <c:pt idx="10">
                  <c:v>420.00285632904871</c:v>
                </c:pt>
                <c:pt idx="11">
                  <c:v>408.9156701594793</c:v>
                </c:pt>
                <c:pt idx="12">
                  <c:v>398.19687115668819</c:v>
                </c:pt>
                <c:pt idx="13">
                  <c:v>387.82866370264679</c:v>
                </c:pt>
                <c:pt idx="14">
                  <c:v>377.79448667113365</c:v>
                </c:pt>
                <c:pt idx="15">
                  <c:v>368.07890231970345</c:v>
                </c:pt>
                <c:pt idx="16">
                  <c:v>358.66749727108498</c:v>
                </c:pt>
                <c:pt idx="17">
                  <c:v>349.54679405360298</c:v>
                </c:pt>
                <c:pt idx="18">
                  <c:v>340.70417189001614</c:v>
                </c:pt>
                <c:pt idx="19">
                  <c:v>332.12779560879881</c:v>
                </c:pt>
                <c:pt idx="20">
                  <c:v>323.80655170754636</c:v>
                </c:pt>
                <c:pt idx="21">
                  <c:v>315.72999072986835</c:v>
                </c:pt>
                <c:pt idx="22">
                  <c:v>307.88827522886908</c:v>
                </c:pt>
                <c:pt idx="23">
                  <c:v>300.27213268546564</c:v>
                </c:pt>
                <c:pt idx="24">
                  <c:v>292.8728128310392</c:v>
                </c:pt>
                <c:pt idx="25">
                  <c:v>285.68204889349079</c:v>
                </c:pt>
                <c:pt idx="26">
                  <c:v>278.69202234554723</c:v>
                </c:pt>
                <c:pt idx="27">
                  <c:v>271.89533078562044</c:v>
                </c:pt>
                <c:pt idx="28">
                  <c:v>265.28495862597197</c:v>
                </c:pt>
              </c:numCache>
            </c:numRef>
          </c:xVal>
          <c:yVal>
            <c:numRef>
              <c:f>'Left-Warrant 2-lane'!$Z$66:$Z$94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3-D9E0-4F39-8A28-D0E4887C70AD}"/>
            </c:ext>
          </c:extLst>
        </c:ser>
        <c:ser>
          <c:idx val="0"/>
          <c:order val="4"/>
          <c:tx>
            <c:v>L = 5%</c:v>
          </c:tx>
          <c:spPr>
            <a:ln w="25400">
              <a:solidFill>
                <a:srgbClr val="000000"/>
              </a:solidFill>
              <a:prstDash val="solid"/>
            </a:ln>
          </c:spPr>
          <c:marker>
            <c:symbol val="none"/>
          </c:marker>
          <c:xVal>
            <c:numRef>
              <c:f>'Left-Warrant 2-lane'!$A$66:$A$94</c:f>
              <c:numCache>
                <c:formatCode>0</c:formatCode>
                <c:ptCount val="29"/>
                <c:pt idx="0">
                  <c:v>500.12971883007452</c:v>
                </c:pt>
                <c:pt idx="1">
                  <c:v>485.62098143852882</c:v>
                </c:pt>
                <c:pt idx="2">
                  <c:v>471.69859689978807</c:v>
                </c:pt>
                <c:pt idx="3">
                  <c:v>458.32593410326399</c:v>
                </c:pt>
                <c:pt idx="4">
                  <c:v>445.46962541386705</c:v>
                </c:pt>
                <c:pt idx="5">
                  <c:v>433.09919523704656</c:v>
                </c:pt>
                <c:pt idx="6">
                  <c:v>421.18673929117716</c:v>
                </c:pt>
                <c:pt idx="7">
                  <c:v>409.70664658031001</c:v>
                </c:pt>
                <c:pt idx="8">
                  <c:v>398.63535748710973</c:v>
                </c:pt>
                <c:pt idx="9">
                  <c:v>387.95115255081328</c:v>
                </c:pt>
                <c:pt idx="10">
                  <c:v>377.63396741910884</c:v>
                </c:pt>
                <c:pt idx="11">
                  <c:v>367.66523021259667</c:v>
                </c:pt>
                <c:pt idx="12">
                  <c:v>358.02771815191494</c:v>
                </c:pt>
                <c:pt idx="13">
                  <c:v>348.70543079864387</c:v>
                </c:pt>
                <c:pt idx="14">
                  <c:v>339.6834776735742</c:v>
                </c:pt>
                <c:pt idx="15">
                  <c:v>330.94797835699057</c:v>
                </c:pt>
                <c:pt idx="16">
                  <c:v>322.48597345882962</c:v>
                </c:pt>
                <c:pt idx="17">
                  <c:v>314.28534508269405</c:v>
                </c:pt>
                <c:pt idx="18">
                  <c:v>306.33474560532454</c:v>
                </c:pt>
                <c:pt idx="19">
                  <c:v>298.62353375914154</c:v>
                </c:pt>
                <c:pt idx="20">
                  <c:v>291.14171714542277</c:v>
                </c:pt>
                <c:pt idx="21">
                  <c:v>283.8799004240779</c:v>
                </c:pt>
                <c:pt idx="22">
                  <c:v>276.82923852644956</c:v>
                </c:pt>
                <c:pt idx="23">
                  <c:v>269.98139432311962</c:v>
                </c:pt>
                <c:pt idx="24">
                  <c:v>263.32850025174952</c:v>
                </c:pt>
                <c:pt idx="25">
                  <c:v>256.86312347254199</c:v>
                </c:pt>
                <c:pt idx="26">
                  <c:v>250.57823417265402</c:v>
                </c:pt>
                <c:pt idx="27">
                  <c:v>244.46717668715851</c:v>
                </c:pt>
                <c:pt idx="28">
                  <c:v>238.52364314411716</c:v>
                </c:pt>
              </c:numCache>
            </c:numRef>
          </c:xVal>
          <c:yVal>
            <c:numRef>
              <c:f>'Left-Warrant 2-lane'!$B$66:$B$94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4-D9E0-4F39-8A28-D0E4887C70AD}"/>
            </c:ext>
          </c:extLst>
        </c:ser>
        <c:ser>
          <c:idx val="1"/>
          <c:order val="5"/>
          <c:tx>
            <c:v>L = 10%</c:v>
          </c:tx>
          <c:spPr>
            <a:ln w="25400">
              <a:solidFill>
                <a:srgbClr val="000000"/>
              </a:solidFill>
              <a:prstDash val="solid"/>
            </a:ln>
          </c:spPr>
          <c:marker>
            <c:symbol val="none"/>
          </c:marker>
          <c:xVal>
            <c:numRef>
              <c:f>'Left-Warrant 2-lane'!$E$66:$E$94</c:f>
              <c:numCache>
                <c:formatCode>0</c:formatCode>
                <c:ptCount val="29"/>
                <c:pt idx="0">
                  <c:v>363.33581717361761</c:v>
                </c:pt>
                <c:pt idx="1">
                  <c:v>352.79546382559801</c:v>
                </c:pt>
                <c:pt idx="2">
                  <c:v>342.68108594935069</c:v>
                </c:pt>
                <c:pt idx="3">
                  <c:v>332.9660716600016</c:v>
                </c:pt>
                <c:pt idx="4">
                  <c:v>323.62617993266076</c:v>
                </c:pt>
                <c:pt idx="5">
                  <c:v>314.63927076117966</c:v>
                </c:pt>
                <c:pt idx="6">
                  <c:v>305.9850721549422</c:v>
                </c:pt>
                <c:pt idx="7">
                  <c:v>297.64497815675088</c:v>
                </c:pt>
                <c:pt idx="8">
                  <c:v>289.60187310142021</c:v>
                </c:pt>
                <c:pt idx="9">
                  <c:v>281.83997816652112</c:v>
                </c:pt>
                <c:pt idx="10">
                  <c:v>274.34471693803778</c:v>
                </c:pt>
                <c:pt idx="11">
                  <c:v>267.10259725838768</c:v>
                </c:pt>
                <c:pt idx="12">
                  <c:v>260.10110706844335</c:v>
                </c:pt>
                <c:pt idx="13">
                  <c:v>253.32862231918401</c:v>
                </c:pt>
                <c:pt idx="14">
                  <c:v>246.77432532826074</c:v>
                </c:pt>
                <c:pt idx="15">
                  <c:v>240.42813220453462</c:v>
                </c:pt>
                <c:pt idx="16">
                  <c:v>234.28062816939635</c:v>
                </c:pt>
                <c:pt idx="17">
                  <c:v>228.32300977521186</c:v>
                </c:pt>
                <c:pt idx="18">
                  <c:v>222.54703316480837</c:v>
                </c:pt>
                <c:pt idx="19">
                  <c:v>216.94496763651745</c:v>
                </c:pt>
                <c:pt idx="20">
                  <c:v>211.50955388096682</c:v>
                </c:pt>
                <c:pt idx="21">
                  <c:v>206.2339663418241</c:v>
                </c:pt>
                <c:pt idx="22">
                  <c:v>201.11177922568501</c:v>
                </c:pt>
                <c:pt idx="23">
                  <c:v>196.13693574844734</c:v>
                </c:pt>
                <c:pt idx="24">
                  <c:v>191.30372025858347</c:v>
                </c:pt>
                <c:pt idx="25">
                  <c:v>186.60673292317017</c:v>
                </c:pt>
                <c:pt idx="26">
                  <c:v>182.04086670157818</c:v>
                </c:pt>
                <c:pt idx="27">
                  <c:v>177.60128636533776</c:v>
                </c:pt>
                <c:pt idx="28">
                  <c:v>173.28340935172747</c:v>
                </c:pt>
              </c:numCache>
            </c:numRef>
          </c:xVal>
          <c:yVal>
            <c:numRef>
              <c:f>'Left-Warrant 2-lane'!$F$66:$F$94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5-D9E0-4F39-8A28-D0E4887C70AD}"/>
            </c:ext>
          </c:extLst>
        </c:ser>
        <c:ser>
          <c:idx val="2"/>
          <c:order val="6"/>
          <c:tx>
            <c:v>L = 15%</c:v>
          </c:tx>
          <c:spPr>
            <a:ln w="25400">
              <a:solidFill>
                <a:srgbClr val="000000"/>
              </a:solidFill>
              <a:prstDash val="solid"/>
            </a:ln>
          </c:spPr>
          <c:marker>
            <c:symbol val="none"/>
          </c:marker>
          <c:xVal>
            <c:numRef>
              <c:f>'Left-Warrant 2-lane'!$I$66:$I$94</c:f>
              <c:numCache>
                <c:formatCode>0</c:formatCode>
                <c:ptCount val="29"/>
                <c:pt idx="0">
                  <c:v>305.26314516135534</c:v>
                </c:pt>
                <c:pt idx="1">
                  <c:v>296.40747703824547</c:v>
                </c:pt>
                <c:pt idx="2">
                  <c:v>287.9096998967799</c:v>
                </c:pt>
                <c:pt idx="3">
                  <c:v>279.74745528152607</c:v>
                </c:pt>
                <c:pt idx="4">
                  <c:v>271.90037665786201</c:v>
                </c:pt>
                <c:pt idx="5">
                  <c:v>264.34986269998586</c:v>
                </c:pt>
                <c:pt idx="6">
                  <c:v>257.07888152906349</c:v>
                </c:pt>
                <c:pt idx="7">
                  <c:v>250.07180101431018</c:v>
                </c:pt>
                <c:pt idx="8">
                  <c:v>243.31424112067546</c:v>
                </c:pt>
                <c:pt idx="9">
                  <c:v>236.79294498568123</c:v>
                </c:pt>
                <c:pt idx="10">
                  <c:v>230.49566597198168</c:v>
                </c:pt>
                <c:pt idx="11">
                  <c:v>224.41106839984488</c:v>
                </c:pt>
                <c:pt idx="12">
                  <c:v>218.52864003694694</c:v>
                </c:pt>
                <c:pt idx="13">
                  <c:v>212.83861472868421</c:v>
                </c:pt>
                <c:pt idx="14">
                  <c:v>207.33190380396746</c:v>
                </c:pt>
                <c:pt idx="15">
                  <c:v>202.00003509963793</c:v>
                </c:pt>
                <c:pt idx="16">
                  <c:v>196.83509861950634</c:v>
                </c:pt>
                <c:pt idx="17">
                  <c:v>191.82969798813707</c:v>
                </c:pt>
                <c:pt idx="18">
                  <c:v>186.97690698012127</c:v>
                </c:pt>
                <c:pt idx="19">
                  <c:v>182.27023050690994</c:v>
                </c:pt>
                <c:pt idx="20">
                  <c:v>177.70356952870026</c:v>
                </c:pt>
                <c:pt idx="21">
                  <c:v>173.27118943113553</c:v>
                </c:pt>
                <c:pt idx="22">
                  <c:v>168.96769146789887</c:v>
                </c:pt>
                <c:pt idx="23">
                  <c:v>164.78798692249933</c:v>
                </c:pt>
                <c:pt idx="24">
                  <c:v>160.72727368713609</c:v>
                </c:pt>
                <c:pt idx="25">
                  <c:v>156.78101499470947</c:v>
                </c:pt>
                <c:pt idx="26">
                  <c:v>152.94492007285061</c:v>
                </c:pt>
                <c:pt idx="27">
                  <c:v>149.21492651708266</c:v>
                </c:pt>
                <c:pt idx="28">
                  <c:v>145.58718420461818</c:v>
                </c:pt>
              </c:numCache>
            </c:numRef>
          </c:xVal>
          <c:yVal>
            <c:numRef>
              <c:f>'Left-Warrant 2-lane'!$J$66:$J$94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6-D9E0-4F39-8A28-D0E4887C70AD}"/>
            </c:ext>
          </c:extLst>
        </c:ser>
        <c:ser>
          <c:idx val="3"/>
          <c:order val="7"/>
          <c:tx>
            <c:v>L = 20%</c:v>
          </c:tx>
          <c:spPr>
            <a:ln w="25400">
              <a:solidFill>
                <a:sysClr val="windowText" lastClr="000000"/>
              </a:solidFill>
            </a:ln>
          </c:spPr>
          <c:marker>
            <c:symbol val="none"/>
          </c:marker>
          <c:xVal>
            <c:numRef>
              <c:f>'Left-Warrant 2-lane'!$M$66:$M$94</c:f>
              <c:numCache>
                <c:formatCode>0</c:formatCode>
                <c:ptCount val="29"/>
                <c:pt idx="0">
                  <c:v>272.5018628802132</c:v>
                </c:pt>
                <c:pt idx="1">
                  <c:v>264.59659786919849</c:v>
                </c:pt>
                <c:pt idx="2">
                  <c:v>257.010814462013</c:v>
                </c:pt>
                <c:pt idx="3">
                  <c:v>249.7245537450012</c:v>
                </c:pt>
                <c:pt idx="4">
                  <c:v>242.71963494949557</c:v>
                </c:pt>
                <c:pt idx="5">
                  <c:v>235.97945307088474</c:v>
                </c:pt>
                <c:pt idx="6">
                  <c:v>229.48880411620664</c:v>
                </c:pt>
                <c:pt idx="7">
                  <c:v>223.23373361756319</c:v>
                </c:pt>
                <c:pt idx="8">
                  <c:v>217.20140482606519</c:v>
                </c:pt>
                <c:pt idx="9">
                  <c:v>211.37998362489083</c:v>
                </c:pt>
                <c:pt idx="10">
                  <c:v>205.75853770352833</c:v>
                </c:pt>
                <c:pt idx="11">
                  <c:v>200.32694794379077</c:v>
                </c:pt>
                <c:pt idx="12">
                  <c:v>195.07583030133247</c:v>
                </c:pt>
                <c:pt idx="13">
                  <c:v>189.99646673938801</c:v>
                </c:pt>
                <c:pt idx="14">
                  <c:v>185.08074399619557</c:v>
                </c:pt>
                <c:pt idx="15">
                  <c:v>180.32109915340098</c:v>
                </c:pt>
                <c:pt idx="16">
                  <c:v>175.71047112704724</c:v>
                </c:pt>
                <c:pt idx="17">
                  <c:v>171.24225733140889</c:v>
                </c:pt>
                <c:pt idx="18">
                  <c:v>166.91027487360626</c:v>
                </c:pt>
                <c:pt idx="19">
                  <c:v>162.70872572738807</c:v>
                </c:pt>
                <c:pt idx="20">
                  <c:v>158.63216541072512</c:v>
                </c:pt>
                <c:pt idx="21">
                  <c:v>154.67547475636809</c:v>
                </c:pt>
                <c:pt idx="22">
                  <c:v>150.83383441926375</c:v>
                </c:pt>
                <c:pt idx="23">
                  <c:v>147.10270181133549</c:v>
                </c:pt>
                <c:pt idx="24">
                  <c:v>143.47779019393761</c:v>
                </c:pt>
                <c:pt idx="25">
                  <c:v>139.9550496923776</c:v>
                </c:pt>
                <c:pt idx="26">
                  <c:v>136.53065002618362</c:v>
                </c:pt>
                <c:pt idx="27">
                  <c:v>133.2009647740033</c:v>
                </c:pt>
                <c:pt idx="28">
                  <c:v>129.96255701379559</c:v>
                </c:pt>
              </c:numCache>
            </c:numRef>
          </c:xVal>
          <c:yVal>
            <c:numRef>
              <c:f>'Left-Warrant 2-lane'!$N$66:$N$94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7-D9E0-4F39-8A28-D0E4887C70AD}"/>
            </c:ext>
          </c:extLst>
        </c:ser>
        <c:ser>
          <c:idx val="4"/>
          <c:order val="8"/>
          <c:tx>
            <c:v>L = 30%</c:v>
          </c:tx>
          <c:spPr>
            <a:ln w="25400">
              <a:solidFill>
                <a:srgbClr val="000000"/>
              </a:solidFill>
              <a:prstDash val="solid"/>
            </a:ln>
          </c:spPr>
          <c:marker>
            <c:symbol val="none"/>
          </c:marker>
          <c:xVal>
            <c:numRef>
              <c:f>'Left-Warrant 2-lane'!$Q$66:$Q$94</c:f>
              <c:numCache>
                <c:formatCode>0</c:formatCode>
                <c:ptCount val="29"/>
                <c:pt idx="0">
                  <c:v>237.85912641239128</c:v>
                </c:pt>
                <c:pt idx="1">
                  <c:v>230.95884540255113</c:v>
                </c:pt>
                <c:pt idx="2">
                  <c:v>224.33743079893824</c:v>
                </c:pt>
                <c:pt idx="3">
                  <c:v>217.97746103343542</c:v>
                </c:pt>
                <c:pt idx="4">
                  <c:v>211.86306663011669</c:v>
                </c:pt>
                <c:pt idx="5">
                  <c:v>205.97975355268738</c:v>
                </c:pt>
                <c:pt idx="6">
                  <c:v>200.31425066807819</c:v>
                </c:pt>
                <c:pt idx="7">
                  <c:v>194.85437751811267</c:v>
                </c:pt>
                <c:pt idx="8">
                  <c:v>189.58892926975054</c:v>
                </c:pt>
                <c:pt idx="9">
                  <c:v>184.50757625896921</c:v>
                </c:pt>
                <c:pt idx="10">
                  <c:v>179.6007759828274</c:v>
                </c:pt>
                <c:pt idx="11">
                  <c:v>174.859695750838</c:v>
                </c:pt>
                <c:pt idx="12">
                  <c:v>170.27614449756501</c:v>
                </c:pt>
                <c:pt idx="13">
                  <c:v>165.84251249664862</c:v>
                </c:pt>
                <c:pt idx="14">
                  <c:v>161.55171791263047</c:v>
                </c:pt>
                <c:pt idx="15">
                  <c:v>157.39715928916141</c:v>
                </c:pt>
                <c:pt idx="16">
                  <c:v>153.37267320686604</c:v>
                </c:pt>
                <c:pt idx="17">
                  <c:v>149.47249645643581</c:v>
                </c:pt>
                <c:pt idx="18">
                  <c:v>145.69123216651172</c:v>
                </c:pt>
                <c:pt idx="19">
                  <c:v>142.02381940486947</c:v>
                </c:pt>
                <c:pt idx="20">
                  <c:v>138.46550583798162</c:v>
                </c:pt>
                <c:pt idx="21">
                  <c:v>135.01182309034056</c:v>
                </c:pt>
                <c:pt idx="22">
                  <c:v>131.658564492707</c:v>
                </c:pt>
                <c:pt idx="23">
                  <c:v>128.40176494913572</c:v>
                </c:pt>
                <c:pt idx="24">
                  <c:v>125.23768268737369</c:v>
                </c:pt>
                <c:pt idx="25">
                  <c:v>122.16278268697648</c:v>
                </c:pt>
                <c:pt idx="26">
                  <c:v>119.17372160504974</c:v>
                </c:pt>
                <c:pt idx="27">
                  <c:v>116.26733404152698</c:v>
                </c:pt>
                <c:pt idx="28">
                  <c:v>113.4406200049014</c:v>
                </c:pt>
              </c:numCache>
            </c:numRef>
          </c:xVal>
          <c:yVal>
            <c:numRef>
              <c:f>'Left-Warrant 2-lane'!$R$66:$R$94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8-D9E0-4F39-8A28-D0E4887C70AD}"/>
            </c:ext>
          </c:extLst>
        </c:ser>
        <c:ser>
          <c:idx val="5"/>
          <c:order val="9"/>
          <c:tx>
            <c:v>L = 40%</c:v>
          </c:tx>
          <c:spPr>
            <a:ln w="25400">
              <a:solidFill>
                <a:sysClr val="windowText" lastClr="000000"/>
              </a:solidFill>
            </a:ln>
          </c:spPr>
          <c:marker>
            <c:symbol val="none"/>
          </c:marker>
          <c:xVal>
            <c:numRef>
              <c:f>'Left-Warrant 2-lane'!$U$66:$U$94</c:f>
              <c:numCache>
                <c:formatCode>0</c:formatCode>
                <c:ptCount val="29"/>
                <c:pt idx="0">
                  <c:v>222.49683933813012</c:v>
                </c:pt>
                <c:pt idx="1">
                  <c:v>216.04221748530904</c:v>
                </c:pt>
                <c:pt idx="2">
                  <c:v>209.84845126968381</c:v>
                </c:pt>
                <c:pt idx="3">
                  <c:v>203.89924430649566</c:v>
                </c:pt>
                <c:pt idx="4">
                  <c:v>198.17975206028893</c:v>
                </c:pt>
                <c:pt idx="5">
                  <c:v>192.67641660157219</c:v>
                </c:pt>
                <c:pt idx="6">
                  <c:v>187.3768239220754</c:v>
                </c:pt>
                <c:pt idx="7">
                  <c:v>182.26958024647112</c:v>
                </c:pt>
                <c:pt idx="8">
                  <c:v>177.3442044131811</c:v>
                </c:pt>
                <c:pt idx="9">
                  <c:v>172.59103390628209</c:v>
                </c:pt>
                <c:pt idx="10">
                  <c:v>168.00114253161951</c:v>
                </c:pt>
                <c:pt idx="11">
                  <c:v>163.56626806379171</c:v>
                </c:pt>
                <c:pt idx="12">
                  <c:v>159.27874846267528</c:v>
                </c:pt>
                <c:pt idx="13">
                  <c:v>155.13146548105874</c:v>
                </c:pt>
                <c:pt idx="14">
                  <c:v>151.11779466845343</c:v>
                </c:pt>
                <c:pt idx="15">
                  <c:v>147.23156092788139</c:v>
                </c:pt>
                <c:pt idx="16">
                  <c:v>143.46699890843402</c:v>
                </c:pt>
                <c:pt idx="17">
                  <c:v>139.81871762144118</c:v>
                </c:pt>
                <c:pt idx="18">
                  <c:v>136.28166875600647</c:v>
                </c:pt>
                <c:pt idx="19">
                  <c:v>132.85111824351952</c:v>
                </c:pt>
                <c:pt idx="20">
                  <c:v>129.52262068301854</c:v>
                </c:pt>
                <c:pt idx="21">
                  <c:v>126.29199629194734</c:v>
                </c:pt>
                <c:pt idx="22">
                  <c:v>123.15531009154762</c:v>
                </c:pt>
                <c:pt idx="23">
                  <c:v>120.10885307418626</c:v>
                </c:pt>
                <c:pt idx="24">
                  <c:v>117.14912513241568</c:v>
                </c:pt>
                <c:pt idx="25">
                  <c:v>114.27281955739632</c:v>
                </c:pt>
                <c:pt idx="26">
                  <c:v>111.47680893821889</c:v>
                </c:pt>
                <c:pt idx="27">
                  <c:v>108.75813231424819</c:v>
                </c:pt>
                <c:pt idx="28">
                  <c:v>106.11398345038877</c:v>
                </c:pt>
              </c:numCache>
            </c:numRef>
          </c:xVal>
          <c:yVal>
            <c:numRef>
              <c:f>'Left-Warrant 2-lane'!$V$66:$V$94</c:f>
              <c:numCache>
                <c:formatCode>General</c:formatCode>
                <c:ptCount val="29"/>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numCache>
            </c:numRef>
          </c:yVal>
          <c:smooth val="1"/>
          <c:extLst>
            <c:ext xmlns:c16="http://schemas.microsoft.com/office/drawing/2014/chart" uri="{C3380CC4-5D6E-409C-BE32-E72D297353CC}">
              <c16:uniqueId val="{00000009-D9E0-4F39-8A28-D0E4887C70AD}"/>
            </c:ext>
          </c:extLst>
        </c:ser>
        <c:ser>
          <c:idx val="14"/>
          <c:order val="10"/>
          <c:tx>
            <c:v>Volume Data Point</c:v>
          </c:tx>
          <c:spPr>
            <a:ln w="28575">
              <a:noFill/>
            </a:ln>
          </c:spPr>
          <c:marker>
            <c:symbol val="circle"/>
            <c:size val="4"/>
            <c:spPr>
              <a:solidFill>
                <a:srgbClr val="FF0000"/>
              </a:solidFill>
              <a:ln>
                <a:noFill/>
                <a:prstDash val="solid"/>
              </a:ln>
            </c:spPr>
          </c:marker>
          <c:dLbls>
            <c:spPr>
              <a:solidFill>
                <a:sysClr val="window" lastClr="FFFFFF">
                  <a:lumMod val="75000"/>
                </a:sysClr>
              </a:solidFill>
              <a:ln>
                <a:solidFill>
                  <a:schemeClr val="tx1"/>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'Inputs&amp;Findings'!$BS$5</c:f>
              <c:numCache>
                <c:formatCode>0</c:formatCode>
                <c:ptCount val="1"/>
                <c:pt idx="0">
                  <c:v>0</c:v>
                </c:pt>
              </c:numCache>
            </c:numRef>
          </c:xVal>
          <c:yVal>
            <c:numRef>
              <c:f>'Inputs&amp;Findings'!$BS$6</c:f>
              <c:numCache>
                <c:formatCode>0</c:formatCode>
                <c:ptCount val="1"/>
                <c:pt idx="0">
                  <c:v>0</c:v>
                </c:pt>
              </c:numCache>
            </c:numRef>
          </c:yVal>
          <c:smooth val="1"/>
          <c:extLst>
            <c:ext xmlns:c16="http://schemas.microsoft.com/office/drawing/2014/chart" uri="{C3380CC4-5D6E-409C-BE32-E72D297353CC}">
              <c16:uniqueId val="{0000000A-D9E0-4F39-8A28-D0E4887C70AD}"/>
            </c:ext>
          </c:extLst>
        </c:ser>
        <c:ser>
          <c:idx val="10"/>
          <c:order val="11"/>
          <c:tx>
            <c:v>Graph Line X</c:v>
          </c:tx>
          <c:spPr>
            <a:ln w="19050">
              <a:solidFill>
                <a:srgbClr val="FF0000"/>
              </a:solidFill>
              <a:prstDash val="sysDash"/>
            </a:ln>
          </c:spPr>
          <c:marker>
            <c:symbol val="none"/>
          </c:marker>
          <c:xVal>
            <c:numRef>
              <c:f>'Inputs&amp;Findings'!$BN$37:$BN$38</c:f>
              <c:numCache>
                <c:formatCode>0</c:formatCode>
                <c:ptCount val="2"/>
                <c:pt idx="0" formatCode="General">
                  <c:v>0</c:v>
                </c:pt>
                <c:pt idx="1">
                  <c:v>0</c:v>
                </c:pt>
              </c:numCache>
            </c:numRef>
          </c:xVal>
          <c:yVal>
            <c:numRef>
              <c:f>'Inputs&amp;Findings'!$BO$37:$BO$38</c:f>
              <c:numCache>
                <c:formatCode>0</c:formatCode>
                <c:ptCount val="2"/>
                <c:pt idx="0">
                  <c:v>0</c:v>
                </c:pt>
                <c:pt idx="1">
                  <c:v>0</c:v>
                </c:pt>
              </c:numCache>
            </c:numRef>
          </c:yVal>
          <c:smooth val="1"/>
          <c:extLst>
            <c:ext xmlns:c16="http://schemas.microsoft.com/office/drawing/2014/chart" uri="{C3380CC4-5D6E-409C-BE32-E72D297353CC}">
              <c16:uniqueId val="{0000000B-D9E0-4F39-8A28-D0E4887C70AD}"/>
            </c:ext>
          </c:extLst>
        </c:ser>
        <c:ser>
          <c:idx val="11"/>
          <c:order val="12"/>
          <c:tx>
            <c:v>Graph Line Y</c:v>
          </c:tx>
          <c:spPr>
            <a:ln w="19050">
              <a:solidFill>
                <a:srgbClr val="FF0000"/>
              </a:solidFill>
              <a:prstDash val="sysDash"/>
            </a:ln>
          </c:spPr>
          <c:marker>
            <c:symbol val="none"/>
          </c:marker>
          <c:xVal>
            <c:numRef>
              <c:f>'Inputs&amp;Findings'!$BP$37:$BP$38</c:f>
              <c:numCache>
                <c:formatCode>0</c:formatCode>
                <c:ptCount val="2"/>
                <c:pt idx="0">
                  <c:v>0</c:v>
                </c:pt>
                <c:pt idx="1">
                  <c:v>0</c:v>
                </c:pt>
              </c:numCache>
            </c:numRef>
          </c:xVal>
          <c:yVal>
            <c:numRef>
              <c:f>'Inputs&amp;Findings'!$BQ$37:$BQ$38</c:f>
              <c:numCache>
                <c:formatCode>0</c:formatCode>
                <c:ptCount val="2"/>
                <c:pt idx="0" formatCode="General">
                  <c:v>0</c:v>
                </c:pt>
                <c:pt idx="1">
                  <c:v>0</c:v>
                </c:pt>
              </c:numCache>
            </c:numRef>
          </c:yVal>
          <c:smooth val="1"/>
          <c:extLst>
            <c:ext xmlns:c16="http://schemas.microsoft.com/office/drawing/2014/chart" uri="{C3380CC4-5D6E-409C-BE32-E72D297353CC}">
              <c16:uniqueId val="{0000000C-D9E0-4F39-8A28-D0E4887C70AD}"/>
            </c:ext>
          </c:extLst>
        </c:ser>
        <c:ser>
          <c:idx val="12"/>
          <c:order val="13"/>
          <c:tx>
            <c:strRef>
              <c:f>'Inputs&amp;Findings'!$BK$24</c:f>
              <c:strCache>
                <c:ptCount val="1"/>
                <c:pt idx="0">
                  <c:v>N/A</c:v>
                </c:pt>
              </c:strCache>
            </c:strRef>
          </c:tx>
          <c:spPr>
            <a:ln w="19050">
              <a:solidFill>
                <a:srgbClr val="FF0000"/>
              </a:solidFill>
            </a:ln>
          </c:spPr>
          <c:marker>
            <c:symbol val="none"/>
          </c:marker>
          <c:xVal>
            <c:numRef>
              <c:f>'Inputs&amp;Findings'!$BK$27:$BK$34</c:f>
              <c:numCache>
                <c:formatCode>0</c:formatCode>
                <c:ptCount val="8"/>
                <c:pt idx="0">
                  <c:v>0</c:v>
                </c:pt>
                <c:pt idx="1">
                  <c:v>0</c:v>
                </c:pt>
                <c:pt idx="2">
                  <c:v>0</c:v>
                </c:pt>
                <c:pt idx="3">
                  <c:v>0</c:v>
                </c:pt>
                <c:pt idx="4">
                  <c:v>0</c:v>
                </c:pt>
                <c:pt idx="5">
                  <c:v>0</c:v>
                </c:pt>
                <c:pt idx="6">
                  <c:v>0</c:v>
                </c:pt>
                <c:pt idx="7">
                  <c:v>0</c:v>
                </c:pt>
              </c:numCache>
            </c:numRef>
          </c:xVal>
          <c:yVal>
            <c:numRef>
              <c:f>'Inputs&amp;Findings'!$BE$27:$BE$34</c:f>
              <c:numCache>
                <c:formatCode>0</c:formatCode>
                <c:ptCount val="8"/>
                <c:pt idx="0">
                  <c:v>100</c:v>
                </c:pt>
                <c:pt idx="1">
                  <c:v>200</c:v>
                </c:pt>
                <c:pt idx="2">
                  <c:v>300</c:v>
                </c:pt>
                <c:pt idx="3">
                  <c:v>400</c:v>
                </c:pt>
                <c:pt idx="4">
                  <c:v>500</c:v>
                </c:pt>
                <c:pt idx="5">
                  <c:v>600</c:v>
                </c:pt>
                <c:pt idx="6">
                  <c:v>700</c:v>
                </c:pt>
                <c:pt idx="7">
                  <c:v>800</c:v>
                </c:pt>
              </c:numCache>
            </c:numRef>
          </c:yVal>
          <c:smooth val="1"/>
          <c:extLst>
            <c:ext xmlns:c16="http://schemas.microsoft.com/office/drawing/2014/chart" uri="{C3380CC4-5D6E-409C-BE32-E72D297353CC}">
              <c16:uniqueId val="{0000000D-D9E0-4F39-8A28-D0E4887C70AD}"/>
            </c:ext>
          </c:extLst>
        </c:ser>
        <c:dLbls>
          <c:showLegendKey val="0"/>
          <c:showVal val="0"/>
          <c:showCatName val="0"/>
          <c:showSerName val="0"/>
          <c:showPercent val="0"/>
          <c:showBubbleSize val="0"/>
        </c:dLbls>
        <c:axId val="490296752"/>
        <c:axId val="490297144"/>
      </c:scatterChart>
      <c:valAx>
        <c:axId val="490296752"/>
        <c:scaling>
          <c:orientation val="minMax"/>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(VPH)</a:t>
                </a:r>
              </a:p>
            </c:rich>
          </c:tx>
          <c:layout>
            <c:manualLayout>
              <c:xMode val="edge"/>
              <c:yMode val="edge"/>
              <c:x val="0.4350721711625547"/>
              <c:y val="0.9445351409633525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7144"/>
        <c:crosses val="autoZero"/>
        <c:crossBetween val="midCat"/>
      </c:valAx>
      <c:valAx>
        <c:axId val="490297144"/>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Opposing Volume (VPH)</a:t>
                </a:r>
              </a:p>
            </c:rich>
          </c:tx>
          <c:layout>
            <c:manualLayout>
              <c:xMode val="edge"/>
              <c:yMode val="edge"/>
              <c:x val="1.220867458457325E-2"/>
              <c:y val="0.39314853237453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6752"/>
        <c:crosses val="autoZero"/>
        <c:crossBetween val="midCat"/>
      </c:valAx>
      <c:spPr>
        <a:noFill/>
        <a:ln w="12700">
          <a:solidFill>
            <a:srgbClr val="808080"/>
          </a:solidFill>
          <a:prstDash val="solid"/>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1"/>
        <c:delete val="1"/>
      </c:legendEntry>
      <c:legendEntry>
        <c:idx val="12"/>
        <c:delete val="1"/>
      </c:legendEntry>
      <c:layout>
        <c:manualLayout>
          <c:xMode val="edge"/>
          <c:yMode val="edge"/>
          <c:x val="0.81382385730212181"/>
          <c:y val="0.44517184942716859"/>
          <c:w val="0.16851727982162831"/>
          <c:h val="7.4471263923433798E-2"/>
        </c:manualLayout>
      </c:layout>
      <c:overlay val="0"/>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rotection>
    <c:chartObject val="0"/>
    <c:data val="0"/>
    <c:formatting val="0"/>
    <c:selection val="0"/>
    <c:userInterface val="0"/>
  </c:protection>
  <c:chart>
    <c:title>
      <c:tx>
        <c:rich>
          <a:bodyPr/>
          <a:lstStyle/>
          <a:p>
            <a:pPr>
              <a:defRPr sz="1100" b="1" i="0" u="none" strike="noStrike" baseline="0">
                <a:solidFill>
                  <a:srgbClr val="000000"/>
                </a:solidFill>
                <a:latin typeface="Arial"/>
                <a:ea typeface="Arial"/>
                <a:cs typeface="Arial"/>
              </a:defRPr>
            </a:pPr>
            <a:r>
              <a:rPr lang="en-US"/>
              <a:t>Figure 7. Warrant for left turn lanes on four-lane, undivided highways</a:t>
            </a:r>
          </a:p>
          <a:p>
            <a:pPr>
              <a:defRPr sz="1100" b="1" i="0" u="none" strike="noStrike" baseline="0">
                <a:solidFill>
                  <a:srgbClr val="000000"/>
                </a:solidFill>
                <a:latin typeface="Arial"/>
                <a:ea typeface="Arial"/>
                <a:cs typeface="Arial"/>
              </a:defRPr>
            </a:pPr>
            <a:r>
              <a:rPr lang="en-US"/>
              <a:t> (unsignalized and signalized intersections)</a:t>
            </a:r>
          </a:p>
          <a:p>
            <a:pPr>
              <a:defRPr sz="1100" b="1" i="0" u="none" strike="noStrike" baseline="0">
                <a:solidFill>
                  <a:srgbClr val="000000"/>
                </a:solidFill>
                <a:latin typeface="Arial"/>
                <a:ea typeface="Arial"/>
                <a:cs typeface="Arial"/>
              </a:defRPr>
            </a:pPr>
            <a:r>
              <a:rPr lang="en-US" sz="1050" b="0"/>
              <a:t>(L = % Left Turns in Advancing Volume)</a:t>
            </a:r>
          </a:p>
        </c:rich>
      </c:tx>
      <c:overlay val="1"/>
      <c:spPr>
        <a:noFill/>
        <a:ln w="25400">
          <a:noFill/>
        </a:ln>
      </c:spPr>
    </c:title>
    <c:autoTitleDeleted val="0"/>
    <c:plotArea>
      <c:layout>
        <c:manualLayout>
          <c:layoutTarget val="inner"/>
          <c:xMode val="edge"/>
          <c:yMode val="edge"/>
          <c:x val="8.2130965593784841E-2"/>
          <c:y val="0.17944535073409515"/>
          <c:w val="0.88901220865704689"/>
          <c:h val="0.71451876019575766"/>
        </c:manualLayout>
      </c:layout>
      <c:scatterChart>
        <c:scatterStyle val="smoothMarker"/>
        <c:varyColors val="0"/>
        <c:ser>
          <c:idx val="0"/>
          <c:order val="0"/>
          <c:tx>
            <c:v>L = 1%</c:v>
          </c:tx>
          <c:spPr>
            <a:ln w="28575">
              <a:noFill/>
            </a:ln>
          </c:spPr>
          <c:marker>
            <c:symbol val="none"/>
          </c:marker>
          <c:trendline>
            <c:spPr>
              <a:ln w="25400">
                <a:solidFill>
                  <a:srgbClr val="000000"/>
                </a:solidFill>
                <a:prstDash val="solid"/>
              </a:ln>
            </c:spPr>
            <c:trendlineType val="log"/>
            <c:dispRSqr val="0"/>
            <c:dispEq val="0"/>
          </c:trendline>
          <c:xVal>
            <c:numRef>
              <c:f>'Left-Warrant 4-Lane'!$A$3:$A$37</c:f>
              <c:numCache>
                <c:formatCode>General</c:formatCode>
                <c:ptCount val="35"/>
                <c:pt idx="0">
                  <c:v>35</c:v>
                </c:pt>
                <c:pt idx="1">
                  <c:v>40</c:v>
                </c:pt>
                <c:pt idx="2">
                  <c:v>45</c:v>
                </c:pt>
                <c:pt idx="3">
                  <c:v>50</c:v>
                </c:pt>
                <c:pt idx="4">
                  <c:v>55</c:v>
                </c:pt>
                <c:pt idx="5">
                  <c:v>60</c:v>
                </c:pt>
                <c:pt idx="6">
                  <c:v>65</c:v>
                </c:pt>
                <c:pt idx="7">
                  <c:v>75</c:v>
                </c:pt>
                <c:pt idx="8">
                  <c:v>80</c:v>
                </c:pt>
                <c:pt idx="9">
                  <c:v>85</c:v>
                </c:pt>
                <c:pt idx="10">
                  <c:v>100</c:v>
                </c:pt>
                <c:pt idx="11">
                  <c:v>110</c:v>
                </c:pt>
                <c:pt idx="12">
                  <c:v>120</c:v>
                </c:pt>
                <c:pt idx="13">
                  <c:v>135</c:v>
                </c:pt>
                <c:pt idx="14">
                  <c:v>150</c:v>
                </c:pt>
                <c:pt idx="15">
                  <c:v>175</c:v>
                </c:pt>
                <c:pt idx="16">
                  <c:v>190</c:v>
                </c:pt>
                <c:pt idx="17">
                  <c:v>215</c:v>
                </c:pt>
                <c:pt idx="18">
                  <c:v>250</c:v>
                </c:pt>
                <c:pt idx="19">
                  <c:v>280</c:v>
                </c:pt>
                <c:pt idx="20">
                  <c:v>310</c:v>
                </c:pt>
                <c:pt idx="21">
                  <c:v>350</c:v>
                </c:pt>
                <c:pt idx="22">
                  <c:v>385</c:v>
                </c:pt>
                <c:pt idx="23">
                  <c:v>425</c:v>
                </c:pt>
                <c:pt idx="24">
                  <c:v>475</c:v>
                </c:pt>
                <c:pt idx="25">
                  <c:v>525</c:v>
                </c:pt>
                <c:pt idx="26">
                  <c:v>590</c:v>
                </c:pt>
                <c:pt idx="27">
                  <c:v>660</c:v>
                </c:pt>
                <c:pt idx="28">
                  <c:v>735</c:v>
                </c:pt>
                <c:pt idx="29">
                  <c:v>825</c:v>
                </c:pt>
                <c:pt idx="30">
                  <c:v>915</c:v>
                </c:pt>
                <c:pt idx="31">
                  <c:v>1025</c:v>
                </c:pt>
                <c:pt idx="32">
                  <c:v>1140</c:v>
                </c:pt>
                <c:pt idx="33">
                  <c:v>1250</c:v>
                </c:pt>
                <c:pt idx="34">
                  <c:v>1425</c:v>
                </c:pt>
              </c:numCache>
            </c:numRef>
          </c:xVal>
          <c:yVal>
            <c:numRef>
              <c:f>'Left-Warrant 4-Lane'!$B$3:$B$37</c:f>
              <c:numCache>
                <c:formatCode>General</c:formatCode>
                <c:ptCount val="35"/>
                <c:pt idx="0">
                  <c:v>1800</c:v>
                </c:pt>
                <c:pt idx="1">
                  <c:v>1750</c:v>
                </c:pt>
                <c:pt idx="2">
                  <c:v>1700</c:v>
                </c:pt>
                <c:pt idx="3">
                  <c:v>1650</c:v>
                </c:pt>
                <c:pt idx="4">
                  <c:v>1600</c:v>
                </c:pt>
                <c:pt idx="5">
                  <c:v>1550</c:v>
                </c:pt>
                <c:pt idx="6">
                  <c:v>1500</c:v>
                </c:pt>
                <c:pt idx="7">
                  <c:v>1450</c:v>
                </c:pt>
                <c:pt idx="8">
                  <c:v>1400</c:v>
                </c:pt>
                <c:pt idx="9">
                  <c:v>1350</c:v>
                </c:pt>
                <c:pt idx="10">
                  <c:v>1300</c:v>
                </c:pt>
                <c:pt idx="11">
                  <c:v>1250</c:v>
                </c:pt>
                <c:pt idx="12">
                  <c:v>1200</c:v>
                </c:pt>
                <c:pt idx="13">
                  <c:v>1150</c:v>
                </c:pt>
                <c:pt idx="14">
                  <c:v>1100</c:v>
                </c:pt>
                <c:pt idx="15">
                  <c:v>1050</c:v>
                </c:pt>
                <c:pt idx="16">
                  <c:v>1000</c:v>
                </c:pt>
                <c:pt idx="17">
                  <c:v>950</c:v>
                </c:pt>
                <c:pt idx="18">
                  <c:v>900</c:v>
                </c:pt>
                <c:pt idx="19">
                  <c:v>850</c:v>
                </c:pt>
                <c:pt idx="20">
                  <c:v>800</c:v>
                </c:pt>
                <c:pt idx="21">
                  <c:v>750</c:v>
                </c:pt>
                <c:pt idx="22">
                  <c:v>700</c:v>
                </c:pt>
                <c:pt idx="23">
                  <c:v>650</c:v>
                </c:pt>
                <c:pt idx="24">
                  <c:v>600</c:v>
                </c:pt>
                <c:pt idx="25">
                  <c:v>550</c:v>
                </c:pt>
                <c:pt idx="26">
                  <c:v>500</c:v>
                </c:pt>
                <c:pt idx="27">
                  <c:v>450</c:v>
                </c:pt>
                <c:pt idx="28">
                  <c:v>400</c:v>
                </c:pt>
                <c:pt idx="29">
                  <c:v>350</c:v>
                </c:pt>
                <c:pt idx="30">
                  <c:v>300</c:v>
                </c:pt>
                <c:pt idx="31">
                  <c:v>250</c:v>
                </c:pt>
                <c:pt idx="32">
                  <c:v>200</c:v>
                </c:pt>
                <c:pt idx="33">
                  <c:v>150</c:v>
                </c:pt>
                <c:pt idx="34">
                  <c:v>100</c:v>
                </c:pt>
              </c:numCache>
            </c:numRef>
          </c:yVal>
          <c:smooth val="1"/>
          <c:extLst>
            <c:ext xmlns:c16="http://schemas.microsoft.com/office/drawing/2014/chart" uri="{C3380CC4-5D6E-409C-BE32-E72D297353CC}">
              <c16:uniqueId val="{00000001-E83C-4D73-8CCA-AA015AA3C17B}"/>
            </c:ext>
          </c:extLst>
        </c:ser>
        <c:ser>
          <c:idx val="1"/>
          <c:order val="1"/>
          <c:tx>
            <c:v>L = 2%</c:v>
          </c:tx>
          <c:spPr>
            <a:ln w="28575">
              <a:noFill/>
            </a:ln>
          </c:spPr>
          <c:marker>
            <c:symbol val="none"/>
          </c:marker>
          <c:trendline>
            <c:spPr>
              <a:ln w="25400">
                <a:solidFill>
                  <a:srgbClr val="000000"/>
                </a:solidFill>
                <a:prstDash val="solid"/>
              </a:ln>
            </c:spPr>
            <c:trendlineType val="log"/>
            <c:dispRSqr val="0"/>
            <c:dispEq val="0"/>
          </c:trendline>
          <c:xVal>
            <c:numRef>
              <c:f>'Left-Warrant 4-Lane'!$F$3:$F$29</c:f>
              <c:numCache>
                <c:formatCode>General</c:formatCode>
                <c:ptCount val="27"/>
                <c:pt idx="0">
                  <c:v>60</c:v>
                </c:pt>
                <c:pt idx="1">
                  <c:v>65</c:v>
                </c:pt>
                <c:pt idx="2">
                  <c:v>70</c:v>
                </c:pt>
                <c:pt idx="3">
                  <c:v>75</c:v>
                </c:pt>
                <c:pt idx="4">
                  <c:v>90</c:v>
                </c:pt>
                <c:pt idx="5">
                  <c:v>100</c:v>
                </c:pt>
                <c:pt idx="6">
                  <c:v>110</c:v>
                </c:pt>
                <c:pt idx="7">
                  <c:v>125</c:v>
                </c:pt>
                <c:pt idx="8">
                  <c:v>140</c:v>
                </c:pt>
                <c:pt idx="9">
                  <c:v>155</c:v>
                </c:pt>
                <c:pt idx="10">
                  <c:v>180</c:v>
                </c:pt>
                <c:pt idx="11">
                  <c:v>195</c:v>
                </c:pt>
                <c:pt idx="12">
                  <c:v>225</c:v>
                </c:pt>
                <c:pt idx="13">
                  <c:v>245</c:v>
                </c:pt>
                <c:pt idx="14">
                  <c:v>275</c:v>
                </c:pt>
                <c:pt idx="15">
                  <c:v>300</c:v>
                </c:pt>
                <c:pt idx="16">
                  <c:v>340</c:v>
                </c:pt>
                <c:pt idx="17">
                  <c:v>380</c:v>
                </c:pt>
                <c:pt idx="18">
                  <c:v>425</c:v>
                </c:pt>
                <c:pt idx="19">
                  <c:v>475</c:v>
                </c:pt>
                <c:pt idx="20">
                  <c:v>525</c:v>
                </c:pt>
                <c:pt idx="21">
                  <c:v>590</c:v>
                </c:pt>
                <c:pt idx="22">
                  <c:v>655</c:v>
                </c:pt>
                <c:pt idx="23">
                  <c:v>735</c:v>
                </c:pt>
                <c:pt idx="24">
                  <c:v>810</c:v>
                </c:pt>
                <c:pt idx="25">
                  <c:v>900</c:v>
                </c:pt>
                <c:pt idx="26">
                  <c:v>1015</c:v>
                </c:pt>
              </c:numCache>
            </c:numRef>
          </c:xVal>
          <c:yVal>
            <c:numRef>
              <c:f>'Left-Warrant 4-Lane'!$G$3:$G$29</c:f>
              <c:numCache>
                <c:formatCode>General</c:formatCode>
                <c:ptCount val="27"/>
                <c:pt idx="0">
                  <c:v>1400</c:v>
                </c:pt>
                <c:pt idx="1">
                  <c:v>1350</c:v>
                </c:pt>
                <c:pt idx="2">
                  <c:v>1300</c:v>
                </c:pt>
                <c:pt idx="3">
                  <c:v>1250</c:v>
                </c:pt>
                <c:pt idx="4">
                  <c:v>1200</c:v>
                </c:pt>
                <c:pt idx="5">
                  <c:v>1150</c:v>
                </c:pt>
                <c:pt idx="6">
                  <c:v>1100</c:v>
                </c:pt>
                <c:pt idx="7">
                  <c:v>1050</c:v>
                </c:pt>
                <c:pt idx="8">
                  <c:v>1000</c:v>
                </c:pt>
                <c:pt idx="9">
                  <c:v>950</c:v>
                </c:pt>
                <c:pt idx="10">
                  <c:v>900</c:v>
                </c:pt>
                <c:pt idx="11">
                  <c:v>850</c:v>
                </c:pt>
                <c:pt idx="12">
                  <c:v>800</c:v>
                </c:pt>
                <c:pt idx="13">
                  <c:v>750</c:v>
                </c:pt>
                <c:pt idx="14">
                  <c:v>700</c:v>
                </c:pt>
                <c:pt idx="15">
                  <c:v>650</c:v>
                </c:pt>
                <c:pt idx="16">
                  <c:v>600</c:v>
                </c:pt>
                <c:pt idx="17">
                  <c:v>550</c:v>
                </c:pt>
                <c:pt idx="18">
                  <c:v>500</c:v>
                </c:pt>
                <c:pt idx="19">
                  <c:v>450</c:v>
                </c:pt>
                <c:pt idx="20">
                  <c:v>400</c:v>
                </c:pt>
                <c:pt idx="21">
                  <c:v>350</c:v>
                </c:pt>
                <c:pt idx="22">
                  <c:v>300</c:v>
                </c:pt>
                <c:pt idx="23">
                  <c:v>250</c:v>
                </c:pt>
                <c:pt idx="24">
                  <c:v>200</c:v>
                </c:pt>
                <c:pt idx="25">
                  <c:v>150</c:v>
                </c:pt>
                <c:pt idx="26">
                  <c:v>100</c:v>
                </c:pt>
              </c:numCache>
            </c:numRef>
          </c:yVal>
          <c:smooth val="1"/>
          <c:extLst>
            <c:ext xmlns:c16="http://schemas.microsoft.com/office/drawing/2014/chart" uri="{C3380CC4-5D6E-409C-BE32-E72D297353CC}">
              <c16:uniqueId val="{00000003-E83C-4D73-8CCA-AA015AA3C17B}"/>
            </c:ext>
          </c:extLst>
        </c:ser>
        <c:ser>
          <c:idx val="2"/>
          <c:order val="2"/>
          <c:tx>
            <c:v>L = 3%</c:v>
          </c:tx>
          <c:spPr>
            <a:ln w="28575">
              <a:noFill/>
            </a:ln>
          </c:spPr>
          <c:marker>
            <c:symbol val="none"/>
          </c:marker>
          <c:trendline>
            <c:spPr>
              <a:ln w="25400">
                <a:solidFill>
                  <a:srgbClr val="000000"/>
                </a:solidFill>
                <a:prstDash val="solid"/>
              </a:ln>
            </c:spPr>
            <c:trendlineType val="log"/>
            <c:dispRSqr val="0"/>
            <c:dispEq val="0"/>
          </c:trendline>
          <c:xVal>
            <c:numRef>
              <c:f>'Left-Warrant 4-Lane'!$K$3:$K$29</c:f>
              <c:numCache>
                <c:formatCode>General</c:formatCode>
                <c:ptCount val="27"/>
                <c:pt idx="0">
                  <c:v>45</c:v>
                </c:pt>
                <c:pt idx="1">
                  <c:v>50</c:v>
                </c:pt>
                <c:pt idx="2">
                  <c:v>55</c:v>
                </c:pt>
                <c:pt idx="3">
                  <c:v>60</c:v>
                </c:pt>
                <c:pt idx="4">
                  <c:v>65</c:v>
                </c:pt>
                <c:pt idx="5">
                  <c:v>80</c:v>
                </c:pt>
                <c:pt idx="6">
                  <c:v>90</c:v>
                </c:pt>
                <c:pt idx="7">
                  <c:v>105</c:v>
                </c:pt>
                <c:pt idx="8">
                  <c:v>120</c:v>
                </c:pt>
                <c:pt idx="9">
                  <c:v>130</c:v>
                </c:pt>
                <c:pt idx="10">
                  <c:v>145</c:v>
                </c:pt>
                <c:pt idx="11">
                  <c:v>160</c:v>
                </c:pt>
                <c:pt idx="12">
                  <c:v>185</c:v>
                </c:pt>
                <c:pt idx="13">
                  <c:v>200</c:v>
                </c:pt>
                <c:pt idx="14">
                  <c:v>225</c:v>
                </c:pt>
                <c:pt idx="15">
                  <c:v>250</c:v>
                </c:pt>
                <c:pt idx="16">
                  <c:v>280</c:v>
                </c:pt>
                <c:pt idx="17">
                  <c:v>310</c:v>
                </c:pt>
                <c:pt idx="18">
                  <c:v>350</c:v>
                </c:pt>
                <c:pt idx="19">
                  <c:v>385</c:v>
                </c:pt>
                <c:pt idx="20">
                  <c:v>435</c:v>
                </c:pt>
                <c:pt idx="21">
                  <c:v>485</c:v>
                </c:pt>
                <c:pt idx="22">
                  <c:v>535</c:v>
                </c:pt>
                <c:pt idx="23">
                  <c:v>600</c:v>
                </c:pt>
                <c:pt idx="24">
                  <c:v>670</c:v>
                </c:pt>
                <c:pt idx="25">
                  <c:v>740</c:v>
                </c:pt>
                <c:pt idx="26">
                  <c:v>835</c:v>
                </c:pt>
              </c:numCache>
            </c:numRef>
          </c:xVal>
          <c:yVal>
            <c:numRef>
              <c:f>'Left-Warrant 4-Lane'!$L$3:$L$29</c:f>
              <c:numCache>
                <c:formatCode>General</c:formatCode>
                <c:ptCount val="27"/>
                <c:pt idx="0">
                  <c:v>1400</c:v>
                </c:pt>
                <c:pt idx="1">
                  <c:v>1350</c:v>
                </c:pt>
                <c:pt idx="2">
                  <c:v>1300</c:v>
                </c:pt>
                <c:pt idx="3">
                  <c:v>1250</c:v>
                </c:pt>
                <c:pt idx="4">
                  <c:v>1200</c:v>
                </c:pt>
                <c:pt idx="5">
                  <c:v>1150</c:v>
                </c:pt>
                <c:pt idx="6">
                  <c:v>1100</c:v>
                </c:pt>
                <c:pt idx="7">
                  <c:v>1050</c:v>
                </c:pt>
                <c:pt idx="8">
                  <c:v>1000</c:v>
                </c:pt>
                <c:pt idx="9">
                  <c:v>950</c:v>
                </c:pt>
                <c:pt idx="10">
                  <c:v>900</c:v>
                </c:pt>
                <c:pt idx="11">
                  <c:v>850</c:v>
                </c:pt>
                <c:pt idx="12">
                  <c:v>800</c:v>
                </c:pt>
                <c:pt idx="13">
                  <c:v>750</c:v>
                </c:pt>
                <c:pt idx="14">
                  <c:v>700</c:v>
                </c:pt>
                <c:pt idx="15">
                  <c:v>650</c:v>
                </c:pt>
                <c:pt idx="16">
                  <c:v>600</c:v>
                </c:pt>
                <c:pt idx="17">
                  <c:v>550</c:v>
                </c:pt>
                <c:pt idx="18">
                  <c:v>500</c:v>
                </c:pt>
                <c:pt idx="19">
                  <c:v>450</c:v>
                </c:pt>
                <c:pt idx="20">
                  <c:v>400</c:v>
                </c:pt>
                <c:pt idx="21">
                  <c:v>350</c:v>
                </c:pt>
                <c:pt idx="22">
                  <c:v>300</c:v>
                </c:pt>
                <c:pt idx="23">
                  <c:v>250</c:v>
                </c:pt>
                <c:pt idx="24">
                  <c:v>200</c:v>
                </c:pt>
                <c:pt idx="25">
                  <c:v>150</c:v>
                </c:pt>
                <c:pt idx="26">
                  <c:v>100</c:v>
                </c:pt>
              </c:numCache>
            </c:numRef>
          </c:yVal>
          <c:smooth val="1"/>
          <c:extLst>
            <c:ext xmlns:c16="http://schemas.microsoft.com/office/drawing/2014/chart" uri="{C3380CC4-5D6E-409C-BE32-E72D297353CC}">
              <c16:uniqueId val="{00000005-E83C-4D73-8CCA-AA015AA3C17B}"/>
            </c:ext>
          </c:extLst>
        </c:ser>
        <c:ser>
          <c:idx val="3"/>
          <c:order val="3"/>
          <c:tx>
            <c:v>L = 5%</c:v>
          </c:tx>
          <c:spPr>
            <a:ln w="28575">
              <a:noFill/>
            </a:ln>
          </c:spPr>
          <c:marker>
            <c:symbol val="none"/>
          </c:marker>
          <c:trendline>
            <c:spPr>
              <a:ln w="25400">
                <a:solidFill>
                  <a:srgbClr val="000000"/>
                </a:solidFill>
                <a:prstDash val="solid"/>
              </a:ln>
            </c:spPr>
            <c:trendlineType val="log"/>
            <c:dispRSqr val="0"/>
            <c:dispEq val="0"/>
          </c:trendline>
          <c:xVal>
            <c:numRef>
              <c:f>'Left-Warrant 4-Lane'!$P$3:$P$25</c:f>
              <c:numCache>
                <c:formatCode>General</c:formatCode>
                <c:ptCount val="23"/>
                <c:pt idx="0">
                  <c:v>60</c:v>
                </c:pt>
                <c:pt idx="1">
                  <c:v>70</c:v>
                </c:pt>
                <c:pt idx="2">
                  <c:v>75</c:v>
                </c:pt>
                <c:pt idx="3">
                  <c:v>85</c:v>
                </c:pt>
                <c:pt idx="4">
                  <c:v>95</c:v>
                </c:pt>
                <c:pt idx="5">
                  <c:v>105</c:v>
                </c:pt>
                <c:pt idx="6">
                  <c:v>120</c:v>
                </c:pt>
                <c:pt idx="7">
                  <c:v>125</c:v>
                </c:pt>
                <c:pt idx="8">
                  <c:v>140</c:v>
                </c:pt>
                <c:pt idx="9">
                  <c:v>160</c:v>
                </c:pt>
                <c:pt idx="10">
                  <c:v>175</c:v>
                </c:pt>
                <c:pt idx="11">
                  <c:v>190</c:v>
                </c:pt>
                <c:pt idx="12">
                  <c:v>215</c:v>
                </c:pt>
                <c:pt idx="13">
                  <c:v>245</c:v>
                </c:pt>
                <c:pt idx="14">
                  <c:v>275</c:v>
                </c:pt>
                <c:pt idx="15">
                  <c:v>305</c:v>
                </c:pt>
                <c:pt idx="16">
                  <c:v>340</c:v>
                </c:pt>
                <c:pt idx="17">
                  <c:v>380</c:v>
                </c:pt>
                <c:pt idx="18">
                  <c:v>425</c:v>
                </c:pt>
                <c:pt idx="19">
                  <c:v>475</c:v>
                </c:pt>
                <c:pt idx="20">
                  <c:v>525</c:v>
                </c:pt>
                <c:pt idx="21">
                  <c:v>575</c:v>
                </c:pt>
                <c:pt idx="22">
                  <c:v>650</c:v>
                </c:pt>
              </c:numCache>
            </c:numRef>
          </c:xVal>
          <c:yVal>
            <c:numRef>
              <c:f>'Left-Warrant 4-Lane'!$Q$3:$Q$25</c:f>
              <c:numCache>
                <c:formatCode>General</c:formatCode>
                <c:ptCount val="23"/>
                <c:pt idx="0">
                  <c:v>1200</c:v>
                </c:pt>
                <c:pt idx="1">
                  <c:v>1150</c:v>
                </c:pt>
                <c:pt idx="2">
                  <c:v>1100</c:v>
                </c:pt>
                <c:pt idx="3">
                  <c:v>1050</c:v>
                </c:pt>
                <c:pt idx="4">
                  <c:v>1000</c:v>
                </c:pt>
                <c:pt idx="5">
                  <c:v>950</c:v>
                </c:pt>
                <c:pt idx="6">
                  <c:v>900</c:v>
                </c:pt>
                <c:pt idx="7">
                  <c:v>850</c:v>
                </c:pt>
                <c:pt idx="8">
                  <c:v>800</c:v>
                </c:pt>
                <c:pt idx="9">
                  <c:v>750</c:v>
                </c:pt>
                <c:pt idx="10">
                  <c:v>700</c:v>
                </c:pt>
                <c:pt idx="11">
                  <c:v>650</c:v>
                </c:pt>
                <c:pt idx="12">
                  <c:v>600</c:v>
                </c:pt>
                <c:pt idx="13">
                  <c:v>550</c:v>
                </c:pt>
                <c:pt idx="14">
                  <c:v>500</c:v>
                </c:pt>
                <c:pt idx="15">
                  <c:v>450</c:v>
                </c:pt>
                <c:pt idx="16">
                  <c:v>400</c:v>
                </c:pt>
                <c:pt idx="17">
                  <c:v>350</c:v>
                </c:pt>
                <c:pt idx="18">
                  <c:v>300</c:v>
                </c:pt>
                <c:pt idx="19">
                  <c:v>250</c:v>
                </c:pt>
                <c:pt idx="20">
                  <c:v>200</c:v>
                </c:pt>
                <c:pt idx="21">
                  <c:v>150</c:v>
                </c:pt>
                <c:pt idx="22">
                  <c:v>100</c:v>
                </c:pt>
              </c:numCache>
            </c:numRef>
          </c:yVal>
          <c:smooth val="1"/>
          <c:extLst>
            <c:ext xmlns:c16="http://schemas.microsoft.com/office/drawing/2014/chart" uri="{C3380CC4-5D6E-409C-BE32-E72D297353CC}">
              <c16:uniqueId val="{00000007-E83C-4D73-8CCA-AA015AA3C17B}"/>
            </c:ext>
          </c:extLst>
        </c:ser>
        <c:ser>
          <c:idx val="4"/>
          <c:order val="4"/>
          <c:tx>
            <c:v>L = 10%</c:v>
          </c:tx>
          <c:spPr>
            <a:ln w="28575">
              <a:noFill/>
            </a:ln>
          </c:spPr>
          <c:marker>
            <c:symbol val="none"/>
          </c:marker>
          <c:trendline>
            <c:spPr>
              <a:ln w="25400">
                <a:solidFill>
                  <a:srgbClr val="000000"/>
                </a:solidFill>
                <a:prstDash val="solid"/>
              </a:ln>
            </c:spPr>
            <c:trendlineType val="log"/>
            <c:dispRSqr val="0"/>
            <c:dispEq val="0"/>
          </c:trendline>
          <c:xVal>
            <c:numRef>
              <c:f>'Left-Warrant 4-Lane'!$A$41:$A$67</c:f>
              <c:numCache>
                <c:formatCode>General</c:formatCode>
                <c:ptCount val="27"/>
                <c:pt idx="0">
                  <c:v>25</c:v>
                </c:pt>
                <c:pt idx="1">
                  <c:v>30</c:v>
                </c:pt>
                <c:pt idx="2">
                  <c:v>35</c:v>
                </c:pt>
                <c:pt idx="3">
                  <c:v>40</c:v>
                </c:pt>
                <c:pt idx="4">
                  <c:v>45</c:v>
                </c:pt>
                <c:pt idx="5">
                  <c:v>50</c:v>
                </c:pt>
                <c:pt idx="6">
                  <c:v>55</c:v>
                </c:pt>
                <c:pt idx="7">
                  <c:v>60</c:v>
                </c:pt>
                <c:pt idx="8">
                  <c:v>70</c:v>
                </c:pt>
                <c:pt idx="9">
                  <c:v>80</c:v>
                </c:pt>
                <c:pt idx="10">
                  <c:v>90</c:v>
                </c:pt>
                <c:pt idx="11">
                  <c:v>100</c:v>
                </c:pt>
                <c:pt idx="12">
                  <c:v>110</c:v>
                </c:pt>
                <c:pt idx="13">
                  <c:v>120</c:v>
                </c:pt>
                <c:pt idx="14">
                  <c:v>125</c:v>
                </c:pt>
                <c:pt idx="15">
                  <c:v>140</c:v>
                </c:pt>
                <c:pt idx="16">
                  <c:v>160</c:v>
                </c:pt>
                <c:pt idx="17">
                  <c:v>175</c:v>
                </c:pt>
                <c:pt idx="18">
                  <c:v>200</c:v>
                </c:pt>
                <c:pt idx="19">
                  <c:v>220</c:v>
                </c:pt>
                <c:pt idx="20">
                  <c:v>250</c:v>
                </c:pt>
                <c:pt idx="21">
                  <c:v>275</c:v>
                </c:pt>
                <c:pt idx="22">
                  <c:v>310</c:v>
                </c:pt>
                <c:pt idx="23">
                  <c:v>350</c:v>
                </c:pt>
                <c:pt idx="24">
                  <c:v>375</c:v>
                </c:pt>
                <c:pt idx="25">
                  <c:v>425</c:v>
                </c:pt>
                <c:pt idx="26">
                  <c:v>475</c:v>
                </c:pt>
              </c:numCache>
            </c:numRef>
          </c:xVal>
          <c:yVal>
            <c:numRef>
              <c:f>'Left-Warrant 4-Lane'!$B$41:$B$67</c:f>
              <c:numCache>
                <c:formatCode>General</c:formatCode>
                <c:ptCount val="27"/>
                <c:pt idx="0">
                  <c:v>1400</c:v>
                </c:pt>
                <c:pt idx="1">
                  <c:v>1350</c:v>
                </c:pt>
                <c:pt idx="2">
                  <c:v>1300</c:v>
                </c:pt>
                <c:pt idx="3">
                  <c:v>1250</c:v>
                </c:pt>
                <c:pt idx="4">
                  <c:v>1200</c:v>
                </c:pt>
                <c:pt idx="5">
                  <c:v>1150</c:v>
                </c:pt>
                <c:pt idx="6">
                  <c:v>1100</c:v>
                </c:pt>
                <c:pt idx="7">
                  <c:v>1050</c:v>
                </c:pt>
                <c:pt idx="8">
                  <c:v>1000</c:v>
                </c:pt>
                <c:pt idx="9">
                  <c:v>950</c:v>
                </c:pt>
                <c:pt idx="10">
                  <c:v>900</c:v>
                </c:pt>
                <c:pt idx="11">
                  <c:v>850</c:v>
                </c:pt>
                <c:pt idx="12">
                  <c:v>800</c:v>
                </c:pt>
                <c:pt idx="13">
                  <c:v>750</c:v>
                </c:pt>
                <c:pt idx="14">
                  <c:v>700</c:v>
                </c:pt>
                <c:pt idx="15">
                  <c:v>650</c:v>
                </c:pt>
                <c:pt idx="16">
                  <c:v>600</c:v>
                </c:pt>
                <c:pt idx="17">
                  <c:v>550</c:v>
                </c:pt>
                <c:pt idx="18">
                  <c:v>500</c:v>
                </c:pt>
                <c:pt idx="19">
                  <c:v>450</c:v>
                </c:pt>
                <c:pt idx="20">
                  <c:v>400</c:v>
                </c:pt>
                <c:pt idx="21">
                  <c:v>350</c:v>
                </c:pt>
                <c:pt idx="22">
                  <c:v>300</c:v>
                </c:pt>
                <c:pt idx="23">
                  <c:v>250</c:v>
                </c:pt>
                <c:pt idx="24">
                  <c:v>200</c:v>
                </c:pt>
                <c:pt idx="25">
                  <c:v>150</c:v>
                </c:pt>
                <c:pt idx="26">
                  <c:v>100</c:v>
                </c:pt>
              </c:numCache>
            </c:numRef>
          </c:yVal>
          <c:smooth val="1"/>
          <c:extLst>
            <c:ext xmlns:c16="http://schemas.microsoft.com/office/drawing/2014/chart" uri="{C3380CC4-5D6E-409C-BE32-E72D297353CC}">
              <c16:uniqueId val="{00000009-E83C-4D73-8CCA-AA015AA3C17B}"/>
            </c:ext>
          </c:extLst>
        </c:ser>
        <c:ser>
          <c:idx val="6"/>
          <c:order val="5"/>
          <c:tx>
            <c:v>L = 15%</c:v>
          </c:tx>
          <c:spPr>
            <a:ln w="28575">
              <a:noFill/>
            </a:ln>
          </c:spPr>
          <c:marker>
            <c:symbol val="none"/>
          </c:marker>
          <c:trendline>
            <c:spPr>
              <a:ln w="25400">
                <a:solidFill>
                  <a:srgbClr val="000000"/>
                </a:solidFill>
                <a:prstDash val="solid"/>
              </a:ln>
            </c:spPr>
            <c:trendlineType val="log"/>
            <c:dispRSqr val="0"/>
            <c:dispEq val="0"/>
          </c:trendline>
          <c:xVal>
            <c:numRef>
              <c:f>'Left-Warrant 4-Lane'!$F$41:$F$63</c:f>
              <c:numCache>
                <c:formatCode>General</c:formatCode>
                <c:ptCount val="23"/>
                <c:pt idx="0">
                  <c:v>40</c:v>
                </c:pt>
                <c:pt idx="1">
                  <c:v>45</c:v>
                </c:pt>
                <c:pt idx="2">
                  <c:v>50</c:v>
                </c:pt>
                <c:pt idx="3">
                  <c:v>55</c:v>
                </c:pt>
                <c:pt idx="4">
                  <c:v>60</c:v>
                </c:pt>
                <c:pt idx="5">
                  <c:v>65</c:v>
                </c:pt>
                <c:pt idx="6">
                  <c:v>75</c:v>
                </c:pt>
                <c:pt idx="7">
                  <c:v>85</c:v>
                </c:pt>
                <c:pt idx="8">
                  <c:v>90</c:v>
                </c:pt>
                <c:pt idx="9">
                  <c:v>100</c:v>
                </c:pt>
                <c:pt idx="10">
                  <c:v>110</c:v>
                </c:pt>
                <c:pt idx="11">
                  <c:v>125</c:v>
                </c:pt>
                <c:pt idx="12">
                  <c:v>135</c:v>
                </c:pt>
                <c:pt idx="13">
                  <c:v>150</c:v>
                </c:pt>
                <c:pt idx="14">
                  <c:v>170</c:v>
                </c:pt>
                <c:pt idx="15">
                  <c:v>185</c:v>
                </c:pt>
                <c:pt idx="16">
                  <c:v>205</c:v>
                </c:pt>
                <c:pt idx="17">
                  <c:v>235</c:v>
                </c:pt>
                <c:pt idx="18">
                  <c:v>260</c:v>
                </c:pt>
                <c:pt idx="19">
                  <c:v>290</c:v>
                </c:pt>
                <c:pt idx="20">
                  <c:v>325</c:v>
                </c:pt>
                <c:pt idx="21">
                  <c:v>355</c:v>
                </c:pt>
                <c:pt idx="22">
                  <c:v>400</c:v>
                </c:pt>
              </c:numCache>
            </c:numRef>
          </c:xVal>
          <c:yVal>
            <c:numRef>
              <c:f>'Left-Warrant 4-Lane'!$G$41:$G$63</c:f>
              <c:numCache>
                <c:formatCode>General</c:formatCode>
                <c:ptCount val="23"/>
                <c:pt idx="0">
                  <c:v>1200</c:v>
                </c:pt>
                <c:pt idx="1">
                  <c:v>1150</c:v>
                </c:pt>
                <c:pt idx="2">
                  <c:v>1100</c:v>
                </c:pt>
                <c:pt idx="3">
                  <c:v>1050</c:v>
                </c:pt>
                <c:pt idx="4">
                  <c:v>1000</c:v>
                </c:pt>
                <c:pt idx="5">
                  <c:v>950</c:v>
                </c:pt>
                <c:pt idx="6">
                  <c:v>900</c:v>
                </c:pt>
                <c:pt idx="7">
                  <c:v>850</c:v>
                </c:pt>
                <c:pt idx="8">
                  <c:v>800</c:v>
                </c:pt>
                <c:pt idx="9">
                  <c:v>750</c:v>
                </c:pt>
                <c:pt idx="10">
                  <c:v>700</c:v>
                </c:pt>
                <c:pt idx="11">
                  <c:v>650</c:v>
                </c:pt>
                <c:pt idx="12">
                  <c:v>600</c:v>
                </c:pt>
                <c:pt idx="13">
                  <c:v>550</c:v>
                </c:pt>
                <c:pt idx="14">
                  <c:v>500</c:v>
                </c:pt>
                <c:pt idx="15">
                  <c:v>450</c:v>
                </c:pt>
                <c:pt idx="16">
                  <c:v>400</c:v>
                </c:pt>
                <c:pt idx="17">
                  <c:v>350</c:v>
                </c:pt>
                <c:pt idx="18">
                  <c:v>300</c:v>
                </c:pt>
                <c:pt idx="19">
                  <c:v>250</c:v>
                </c:pt>
                <c:pt idx="20">
                  <c:v>200</c:v>
                </c:pt>
                <c:pt idx="21">
                  <c:v>150</c:v>
                </c:pt>
                <c:pt idx="22">
                  <c:v>100</c:v>
                </c:pt>
              </c:numCache>
            </c:numRef>
          </c:yVal>
          <c:smooth val="1"/>
          <c:extLst>
            <c:ext xmlns:c16="http://schemas.microsoft.com/office/drawing/2014/chart" uri="{C3380CC4-5D6E-409C-BE32-E72D297353CC}">
              <c16:uniqueId val="{0000000B-E83C-4D73-8CCA-AA015AA3C17B}"/>
            </c:ext>
          </c:extLst>
        </c:ser>
        <c:ser>
          <c:idx val="5"/>
          <c:order val="6"/>
          <c:tx>
            <c:v>L = 20%</c:v>
          </c:tx>
          <c:spPr>
            <a:ln w="28575">
              <a:noFill/>
            </a:ln>
          </c:spPr>
          <c:marker>
            <c:symbol val="none"/>
          </c:marker>
          <c:trendline>
            <c:spPr>
              <a:ln w="25400"/>
            </c:spPr>
            <c:trendlineType val="log"/>
            <c:dispRSqr val="0"/>
            <c:dispEq val="0"/>
          </c:trendline>
          <c:xVal>
            <c:numRef>
              <c:f>'Left-Warrant 4-Lane'!$K$41:$K$55</c:f>
              <c:numCache>
                <c:formatCode>General</c:formatCode>
                <c:ptCount val="15"/>
                <c:pt idx="0">
                  <c:v>85</c:v>
                </c:pt>
                <c:pt idx="1">
                  <c:v>90</c:v>
                </c:pt>
                <c:pt idx="2">
                  <c:v>100</c:v>
                </c:pt>
                <c:pt idx="3">
                  <c:v>110</c:v>
                </c:pt>
                <c:pt idx="4">
                  <c:v>120</c:v>
                </c:pt>
                <c:pt idx="5">
                  <c:v>135</c:v>
                </c:pt>
                <c:pt idx="6">
                  <c:v>145</c:v>
                </c:pt>
                <c:pt idx="7">
                  <c:v>160</c:v>
                </c:pt>
                <c:pt idx="8">
                  <c:v>185</c:v>
                </c:pt>
                <c:pt idx="9">
                  <c:v>205</c:v>
                </c:pt>
                <c:pt idx="10">
                  <c:v>230</c:v>
                </c:pt>
                <c:pt idx="11">
                  <c:v>260</c:v>
                </c:pt>
                <c:pt idx="12">
                  <c:v>285</c:v>
                </c:pt>
                <c:pt idx="13">
                  <c:v>315</c:v>
                </c:pt>
                <c:pt idx="14">
                  <c:v>355</c:v>
                </c:pt>
              </c:numCache>
            </c:numRef>
          </c:xVal>
          <c:yVal>
            <c:numRef>
              <c:f>'Left-Warrant 4-Lane'!$L$41:$L$55</c:f>
              <c:numCache>
                <c:formatCode>General</c:formatCode>
                <c:ptCount val="15"/>
                <c:pt idx="0">
                  <c:v>800</c:v>
                </c:pt>
                <c:pt idx="1">
                  <c:v>750</c:v>
                </c:pt>
                <c:pt idx="2">
                  <c:v>700</c:v>
                </c:pt>
                <c:pt idx="3">
                  <c:v>650</c:v>
                </c:pt>
                <c:pt idx="4">
                  <c:v>600</c:v>
                </c:pt>
                <c:pt idx="5">
                  <c:v>550</c:v>
                </c:pt>
                <c:pt idx="6">
                  <c:v>500</c:v>
                </c:pt>
                <c:pt idx="7">
                  <c:v>450</c:v>
                </c:pt>
                <c:pt idx="8">
                  <c:v>400</c:v>
                </c:pt>
                <c:pt idx="9">
                  <c:v>350</c:v>
                </c:pt>
                <c:pt idx="10">
                  <c:v>300</c:v>
                </c:pt>
                <c:pt idx="11">
                  <c:v>250</c:v>
                </c:pt>
                <c:pt idx="12">
                  <c:v>200</c:v>
                </c:pt>
                <c:pt idx="13">
                  <c:v>150</c:v>
                </c:pt>
                <c:pt idx="14">
                  <c:v>100</c:v>
                </c:pt>
              </c:numCache>
            </c:numRef>
          </c:yVal>
          <c:smooth val="1"/>
          <c:extLst>
            <c:ext xmlns:c16="http://schemas.microsoft.com/office/drawing/2014/chart" uri="{C3380CC4-5D6E-409C-BE32-E72D297353CC}">
              <c16:uniqueId val="{0000000D-E83C-4D73-8CCA-AA015AA3C17B}"/>
            </c:ext>
          </c:extLst>
        </c:ser>
        <c:ser>
          <c:idx val="7"/>
          <c:order val="7"/>
          <c:tx>
            <c:v>L = 50%</c:v>
          </c:tx>
          <c:spPr>
            <a:ln>
              <a:noFill/>
            </a:ln>
          </c:spPr>
          <c:marker>
            <c:symbol val="none"/>
          </c:marker>
          <c:trendline>
            <c:spPr>
              <a:ln w="25400"/>
            </c:spPr>
            <c:trendlineType val="exp"/>
            <c:dispRSqr val="0"/>
            <c:dispEq val="0"/>
          </c:trendline>
          <c:xVal>
            <c:numRef>
              <c:f>'Left-Warrant 4-Lane'!$P$41:$P$75</c:f>
              <c:numCache>
                <c:formatCode>General</c:formatCode>
                <c:ptCount val="35"/>
                <c:pt idx="0">
                  <c:v>5</c:v>
                </c:pt>
                <c:pt idx="1">
                  <c:v>5</c:v>
                </c:pt>
                <c:pt idx="2">
                  <c:v>5</c:v>
                </c:pt>
                <c:pt idx="3">
                  <c:v>6</c:v>
                </c:pt>
                <c:pt idx="4">
                  <c:v>7</c:v>
                </c:pt>
                <c:pt idx="5">
                  <c:v>8</c:v>
                </c:pt>
                <c:pt idx="6">
                  <c:v>9</c:v>
                </c:pt>
                <c:pt idx="7">
                  <c:v>10</c:v>
                </c:pt>
                <c:pt idx="8">
                  <c:v>12</c:v>
                </c:pt>
                <c:pt idx="9">
                  <c:v>15</c:v>
                </c:pt>
                <c:pt idx="10">
                  <c:v>17</c:v>
                </c:pt>
                <c:pt idx="11">
                  <c:v>20</c:v>
                </c:pt>
                <c:pt idx="12">
                  <c:v>25</c:v>
                </c:pt>
                <c:pt idx="13">
                  <c:v>30</c:v>
                </c:pt>
                <c:pt idx="14">
                  <c:v>35</c:v>
                </c:pt>
                <c:pt idx="15">
                  <c:v>40</c:v>
                </c:pt>
                <c:pt idx="16">
                  <c:v>45</c:v>
                </c:pt>
                <c:pt idx="17">
                  <c:v>50</c:v>
                </c:pt>
                <c:pt idx="18">
                  <c:v>55</c:v>
                </c:pt>
                <c:pt idx="19">
                  <c:v>60</c:v>
                </c:pt>
                <c:pt idx="20">
                  <c:v>65</c:v>
                </c:pt>
                <c:pt idx="21">
                  <c:v>75</c:v>
                </c:pt>
                <c:pt idx="22">
                  <c:v>80</c:v>
                </c:pt>
                <c:pt idx="23">
                  <c:v>90</c:v>
                </c:pt>
                <c:pt idx="24">
                  <c:v>100</c:v>
                </c:pt>
                <c:pt idx="25">
                  <c:v>110</c:v>
                </c:pt>
                <c:pt idx="26">
                  <c:v>120</c:v>
                </c:pt>
                <c:pt idx="27">
                  <c:v>130</c:v>
                </c:pt>
                <c:pt idx="28">
                  <c:v>150</c:v>
                </c:pt>
                <c:pt idx="29">
                  <c:v>165</c:v>
                </c:pt>
                <c:pt idx="30">
                  <c:v>185</c:v>
                </c:pt>
                <c:pt idx="31">
                  <c:v>205</c:v>
                </c:pt>
                <c:pt idx="32">
                  <c:v>225</c:v>
                </c:pt>
                <c:pt idx="33">
                  <c:v>250</c:v>
                </c:pt>
                <c:pt idx="34">
                  <c:v>275</c:v>
                </c:pt>
              </c:numCache>
            </c:numRef>
          </c:xVal>
          <c:yVal>
            <c:numRef>
              <c:f>'Left-Warrant 4-Lane'!$Q$41:$Q$75</c:f>
              <c:numCache>
                <c:formatCode>General</c:formatCode>
                <c:ptCount val="35"/>
                <c:pt idx="0">
                  <c:v>1800</c:v>
                </c:pt>
                <c:pt idx="1">
                  <c:v>1750</c:v>
                </c:pt>
                <c:pt idx="2">
                  <c:v>1700</c:v>
                </c:pt>
                <c:pt idx="3">
                  <c:v>1650</c:v>
                </c:pt>
                <c:pt idx="4">
                  <c:v>1600</c:v>
                </c:pt>
                <c:pt idx="5">
                  <c:v>1550</c:v>
                </c:pt>
                <c:pt idx="6">
                  <c:v>1500</c:v>
                </c:pt>
                <c:pt idx="7">
                  <c:v>1450</c:v>
                </c:pt>
                <c:pt idx="8">
                  <c:v>1400</c:v>
                </c:pt>
                <c:pt idx="9">
                  <c:v>1350</c:v>
                </c:pt>
                <c:pt idx="10">
                  <c:v>1300</c:v>
                </c:pt>
                <c:pt idx="11">
                  <c:v>1250</c:v>
                </c:pt>
                <c:pt idx="12">
                  <c:v>1200</c:v>
                </c:pt>
                <c:pt idx="13">
                  <c:v>1150</c:v>
                </c:pt>
                <c:pt idx="14">
                  <c:v>1100</c:v>
                </c:pt>
                <c:pt idx="15">
                  <c:v>1050</c:v>
                </c:pt>
                <c:pt idx="16">
                  <c:v>1000</c:v>
                </c:pt>
                <c:pt idx="17">
                  <c:v>950</c:v>
                </c:pt>
                <c:pt idx="18">
                  <c:v>900</c:v>
                </c:pt>
                <c:pt idx="19">
                  <c:v>850</c:v>
                </c:pt>
                <c:pt idx="20">
                  <c:v>800</c:v>
                </c:pt>
                <c:pt idx="21">
                  <c:v>750</c:v>
                </c:pt>
                <c:pt idx="22">
                  <c:v>700</c:v>
                </c:pt>
                <c:pt idx="23">
                  <c:v>650</c:v>
                </c:pt>
                <c:pt idx="24">
                  <c:v>600</c:v>
                </c:pt>
                <c:pt idx="25">
                  <c:v>550</c:v>
                </c:pt>
                <c:pt idx="26">
                  <c:v>500</c:v>
                </c:pt>
                <c:pt idx="27">
                  <c:v>450</c:v>
                </c:pt>
                <c:pt idx="28">
                  <c:v>400</c:v>
                </c:pt>
                <c:pt idx="29">
                  <c:v>350</c:v>
                </c:pt>
                <c:pt idx="30">
                  <c:v>300</c:v>
                </c:pt>
                <c:pt idx="31">
                  <c:v>250</c:v>
                </c:pt>
                <c:pt idx="32">
                  <c:v>200</c:v>
                </c:pt>
                <c:pt idx="33">
                  <c:v>150</c:v>
                </c:pt>
                <c:pt idx="34">
                  <c:v>100</c:v>
                </c:pt>
              </c:numCache>
            </c:numRef>
          </c:yVal>
          <c:smooth val="1"/>
          <c:extLst>
            <c:ext xmlns:c16="http://schemas.microsoft.com/office/drawing/2014/chart" uri="{C3380CC4-5D6E-409C-BE32-E72D297353CC}">
              <c16:uniqueId val="{0000000F-E83C-4D73-8CCA-AA015AA3C17B}"/>
            </c:ext>
          </c:extLst>
        </c:ser>
        <c:ser>
          <c:idx val="8"/>
          <c:order val="8"/>
          <c:tx>
            <c:v>Volume Data Point</c:v>
          </c:tx>
          <c:spPr>
            <a:ln w="28575">
              <a:noFill/>
            </a:ln>
          </c:spPr>
          <c:marker>
            <c:symbol val="circle"/>
            <c:size val="4"/>
            <c:spPr>
              <a:solidFill>
                <a:srgbClr val="FF0000"/>
              </a:solidFill>
              <a:ln>
                <a:noFill/>
              </a:ln>
            </c:spPr>
          </c:marker>
          <c:dLbls>
            <c:dLbl>
              <c:idx val="0"/>
              <c:spPr>
                <a:solidFill>
                  <a:sysClr val="window" lastClr="FFFFFF">
                    <a:lumMod val="75000"/>
                  </a:sysClr>
                </a:solidFill>
                <a:ln>
                  <a:solidFill>
                    <a:sysClr val="windowText" lastClr="000000"/>
                  </a:solidFill>
                </a:ln>
              </c:spPr>
              <c:txPr>
                <a:bodyPr/>
                <a:lstStyle/>
                <a:p>
                  <a:pPr>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83C-4D73-8CCA-AA015AA3C17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'Inputs&amp;Findings'!$BT$5</c:f>
              <c:numCache>
                <c:formatCode>0</c:formatCode>
                <c:ptCount val="1"/>
                <c:pt idx="0">
                  <c:v>0</c:v>
                </c:pt>
              </c:numCache>
            </c:numRef>
          </c:xVal>
          <c:yVal>
            <c:numRef>
              <c:f>'Inputs&amp;Findings'!$BT$6</c:f>
              <c:numCache>
                <c:formatCode>0</c:formatCode>
                <c:ptCount val="1"/>
                <c:pt idx="0">
                  <c:v>0</c:v>
                </c:pt>
              </c:numCache>
            </c:numRef>
          </c:yVal>
          <c:smooth val="1"/>
          <c:extLst>
            <c:ext xmlns:c16="http://schemas.microsoft.com/office/drawing/2014/chart" uri="{C3380CC4-5D6E-409C-BE32-E72D297353CC}">
              <c16:uniqueId val="{00000011-E83C-4D73-8CCA-AA015AA3C17B}"/>
            </c:ext>
          </c:extLst>
        </c:ser>
        <c:ser>
          <c:idx val="9"/>
          <c:order val="9"/>
          <c:tx>
            <c:v>Graph Line X</c:v>
          </c:tx>
          <c:spPr>
            <a:ln w="19050">
              <a:solidFill>
                <a:srgbClr val="FF0000"/>
              </a:solidFill>
              <a:prstDash val="sysDash"/>
            </a:ln>
          </c:spPr>
          <c:marker>
            <c:symbol val="none"/>
          </c:marker>
          <c:xVal>
            <c:numRef>
              <c:f>'Inputs&amp;Findings'!$BN$41:$BN$42</c:f>
              <c:numCache>
                <c:formatCode>0</c:formatCode>
                <c:ptCount val="2"/>
                <c:pt idx="0" formatCode="General">
                  <c:v>0</c:v>
                </c:pt>
                <c:pt idx="1">
                  <c:v>0</c:v>
                </c:pt>
              </c:numCache>
            </c:numRef>
          </c:xVal>
          <c:yVal>
            <c:numRef>
              <c:f>'Inputs&amp;Findings'!$BO$41:$BO$42</c:f>
              <c:numCache>
                <c:formatCode>0</c:formatCode>
                <c:ptCount val="2"/>
                <c:pt idx="0">
                  <c:v>0</c:v>
                </c:pt>
                <c:pt idx="1">
                  <c:v>0</c:v>
                </c:pt>
              </c:numCache>
            </c:numRef>
          </c:yVal>
          <c:smooth val="1"/>
          <c:extLst>
            <c:ext xmlns:c16="http://schemas.microsoft.com/office/drawing/2014/chart" uri="{C3380CC4-5D6E-409C-BE32-E72D297353CC}">
              <c16:uniqueId val="{00000012-E83C-4D73-8CCA-AA015AA3C17B}"/>
            </c:ext>
          </c:extLst>
        </c:ser>
        <c:ser>
          <c:idx val="10"/>
          <c:order val="10"/>
          <c:tx>
            <c:v>Graph Line Y</c:v>
          </c:tx>
          <c:spPr>
            <a:ln w="19050">
              <a:solidFill>
                <a:srgbClr val="FF0000"/>
              </a:solidFill>
              <a:prstDash val="sysDash"/>
            </a:ln>
          </c:spPr>
          <c:marker>
            <c:symbol val="none"/>
          </c:marker>
          <c:xVal>
            <c:numRef>
              <c:f>'Inputs&amp;Findings'!$BP$41:$BP$42</c:f>
              <c:numCache>
                <c:formatCode>0</c:formatCode>
                <c:ptCount val="2"/>
                <c:pt idx="0">
                  <c:v>0</c:v>
                </c:pt>
                <c:pt idx="1">
                  <c:v>0</c:v>
                </c:pt>
              </c:numCache>
            </c:numRef>
          </c:xVal>
          <c:yVal>
            <c:numRef>
              <c:f>'Inputs&amp;Findings'!$BQ$41:$BQ$42</c:f>
              <c:numCache>
                <c:formatCode>0</c:formatCode>
                <c:ptCount val="2"/>
                <c:pt idx="0" formatCode="General">
                  <c:v>0</c:v>
                </c:pt>
                <c:pt idx="1">
                  <c:v>0</c:v>
                </c:pt>
              </c:numCache>
            </c:numRef>
          </c:yVal>
          <c:smooth val="1"/>
          <c:extLst>
            <c:ext xmlns:c16="http://schemas.microsoft.com/office/drawing/2014/chart" uri="{C3380CC4-5D6E-409C-BE32-E72D297353CC}">
              <c16:uniqueId val="{00000013-E83C-4D73-8CCA-AA015AA3C17B}"/>
            </c:ext>
          </c:extLst>
        </c:ser>
        <c:dLbls>
          <c:showLegendKey val="0"/>
          <c:showVal val="0"/>
          <c:showCatName val="0"/>
          <c:showSerName val="0"/>
          <c:showPercent val="0"/>
          <c:showBubbleSize val="0"/>
        </c:dLbls>
        <c:axId val="490297928"/>
        <c:axId val="490298320"/>
      </c:scatterChart>
      <c:valAx>
        <c:axId val="490297928"/>
        <c:scaling>
          <c:orientation val="minMax"/>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(VPH)</a:t>
                </a:r>
              </a:p>
            </c:rich>
          </c:tx>
          <c:layout>
            <c:manualLayout>
              <c:xMode val="edge"/>
              <c:yMode val="edge"/>
              <c:x val="0.43618201997780376"/>
              <c:y val="0.944535073409461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8320"/>
        <c:crosses val="autoZero"/>
        <c:crossBetween val="midCat"/>
      </c:valAx>
      <c:valAx>
        <c:axId val="490298320"/>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Opposing Volume (VPH)</a:t>
                </a:r>
              </a:p>
            </c:rich>
          </c:tx>
          <c:layout>
            <c:manualLayout>
              <c:xMode val="edge"/>
              <c:yMode val="edge"/>
              <c:x val="1.2208657047724751E-2"/>
              <c:y val="0.409461663947798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7928"/>
        <c:crosses val="autoZero"/>
        <c:crossBetween val="midCat"/>
      </c:valAx>
      <c:spPr>
        <a:noFill/>
        <a:ln w="12700">
          <a:solidFill>
            <a:srgbClr val="808080"/>
          </a:solidFill>
          <a:prstDash val="solid"/>
        </a:ln>
      </c:spPr>
    </c:plotArea>
    <c:legend>
      <c:legendPos val="t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overlay val="1"/>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rotection>
    <c:chartObject val="0"/>
    <c:data val="0"/>
    <c:formatting val="0"/>
    <c:selection val="0"/>
    <c:userInterface val="0"/>
  </c:protection>
  <c:chart>
    <c:title>
      <c:tx>
        <c:rich>
          <a:bodyPr/>
          <a:lstStyle/>
          <a:p>
            <a:pPr>
              <a:defRPr sz="1100" b="1" i="0" u="none" strike="noStrike" baseline="0">
                <a:solidFill>
                  <a:srgbClr val="000000"/>
                </a:solidFill>
                <a:latin typeface="Arial"/>
                <a:ea typeface="Arial"/>
                <a:cs typeface="Arial"/>
              </a:defRPr>
            </a:pPr>
            <a:r>
              <a:rPr lang="en-US"/>
              <a:t>Figure 8. Warrant for left turn lanes on four-lane, divided highways</a:t>
            </a:r>
          </a:p>
          <a:p>
            <a:pPr>
              <a:defRPr sz="1100" b="1" i="0" u="none" strike="noStrike" baseline="0">
                <a:solidFill>
                  <a:srgbClr val="000000"/>
                </a:solidFill>
                <a:latin typeface="Arial"/>
                <a:ea typeface="Arial"/>
                <a:cs typeface="Arial"/>
              </a:defRPr>
            </a:pPr>
            <a:r>
              <a:rPr lang="en-US"/>
              <a:t> (unsignalized and signalized intersections)</a:t>
            </a:r>
          </a:p>
          <a:p>
            <a:pPr>
              <a:defRPr sz="1100" b="1" i="0" u="none" strike="noStrike" baseline="0">
                <a:solidFill>
                  <a:srgbClr val="000000"/>
                </a:solidFill>
                <a:latin typeface="Arial"/>
                <a:ea typeface="Arial"/>
                <a:cs typeface="Arial"/>
              </a:defRPr>
            </a:pPr>
            <a:r>
              <a:rPr lang="en-US" sz="1050" b="0"/>
              <a:t>(L = % Left Turns in Advancing Volume)</a:t>
            </a:r>
          </a:p>
        </c:rich>
      </c:tx>
      <c:overlay val="1"/>
      <c:spPr>
        <a:noFill/>
        <a:ln w="25400">
          <a:noFill/>
        </a:ln>
      </c:spPr>
    </c:title>
    <c:autoTitleDeleted val="0"/>
    <c:plotArea>
      <c:layout>
        <c:manualLayout>
          <c:layoutTarget val="inner"/>
          <c:xMode val="edge"/>
          <c:yMode val="edge"/>
          <c:x val="8.2130965593784841E-2"/>
          <c:y val="0.14681892332789587"/>
          <c:w val="0.88901220865704689"/>
          <c:h val="0.74714518760195769"/>
        </c:manualLayout>
      </c:layout>
      <c:scatterChart>
        <c:scatterStyle val="smoothMarker"/>
        <c:varyColors val="0"/>
        <c:ser>
          <c:idx val="0"/>
          <c:order val="0"/>
          <c:tx>
            <c:v>L = 1%</c:v>
          </c:tx>
          <c:spPr>
            <a:ln w="28575">
              <a:noFill/>
            </a:ln>
          </c:spPr>
          <c:marker>
            <c:symbol val="none"/>
          </c:marker>
          <c:trendline>
            <c:spPr>
              <a:ln w="25400">
                <a:solidFill>
                  <a:srgbClr val="000000"/>
                </a:solidFill>
                <a:prstDash val="solid"/>
              </a:ln>
            </c:spPr>
            <c:trendlineType val="log"/>
            <c:dispRSqr val="0"/>
            <c:dispEq val="0"/>
          </c:trendline>
          <c:xVal>
            <c:numRef>
              <c:f>'Left-Warrant 4-Lane'!$A$81:$A$115</c:f>
              <c:numCache>
                <c:formatCode>General</c:formatCode>
                <c:ptCount val="35"/>
                <c:pt idx="0">
                  <c:v>55</c:v>
                </c:pt>
                <c:pt idx="1">
                  <c:v>65</c:v>
                </c:pt>
                <c:pt idx="2">
                  <c:v>75</c:v>
                </c:pt>
                <c:pt idx="3">
                  <c:v>85</c:v>
                </c:pt>
                <c:pt idx="4">
                  <c:v>90</c:v>
                </c:pt>
                <c:pt idx="5">
                  <c:v>95</c:v>
                </c:pt>
                <c:pt idx="6">
                  <c:v>100</c:v>
                </c:pt>
                <c:pt idx="7">
                  <c:v>110</c:v>
                </c:pt>
                <c:pt idx="8">
                  <c:v>125</c:v>
                </c:pt>
                <c:pt idx="9">
                  <c:v>140</c:v>
                </c:pt>
                <c:pt idx="10">
                  <c:v>150</c:v>
                </c:pt>
                <c:pt idx="11">
                  <c:v>165</c:v>
                </c:pt>
                <c:pt idx="12">
                  <c:v>185</c:v>
                </c:pt>
                <c:pt idx="13">
                  <c:v>200</c:v>
                </c:pt>
                <c:pt idx="14">
                  <c:v>235</c:v>
                </c:pt>
                <c:pt idx="15">
                  <c:v>265</c:v>
                </c:pt>
                <c:pt idx="16">
                  <c:v>300</c:v>
                </c:pt>
                <c:pt idx="17">
                  <c:v>325</c:v>
                </c:pt>
                <c:pt idx="18">
                  <c:v>375</c:v>
                </c:pt>
                <c:pt idx="19">
                  <c:v>425</c:v>
                </c:pt>
                <c:pt idx="20">
                  <c:v>475</c:v>
                </c:pt>
                <c:pt idx="21">
                  <c:v>525</c:v>
                </c:pt>
                <c:pt idx="22">
                  <c:v>585</c:v>
                </c:pt>
                <c:pt idx="23">
                  <c:v>650</c:v>
                </c:pt>
                <c:pt idx="24">
                  <c:v>725</c:v>
                </c:pt>
                <c:pt idx="25">
                  <c:v>810</c:v>
                </c:pt>
                <c:pt idx="26">
                  <c:v>900</c:v>
                </c:pt>
                <c:pt idx="27">
                  <c:v>1000</c:v>
                </c:pt>
                <c:pt idx="28">
                  <c:v>1125</c:v>
                </c:pt>
                <c:pt idx="29">
                  <c:v>1250</c:v>
                </c:pt>
                <c:pt idx="30">
                  <c:v>1375</c:v>
                </c:pt>
                <c:pt idx="31">
                  <c:v>1550</c:v>
                </c:pt>
                <c:pt idx="32">
                  <c:v>1750</c:v>
                </c:pt>
                <c:pt idx="33">
                  <c:v>1925</c:v>
                </c:pt>
                <c:pt idx="34">
                  <c:v>2200</c:v>
                </c:pt>
              </c:numCache>
            </c:numRef>
          </c:xVal>
          <c:yVal>
            <c:numRef>
              <c:f>'Left-Warrant 4-Lane'!$B$81:$B$115</c:f>
              <c:numCache>
                <c:formatCode>General</c:formatCode>
                <c:ptCount val="35"/>
                <c:pt idx="0">
                  <c:v>1800</c:v>
                </c:pt>
                <c:pt idx="1">
                  <c:v>1750</c:v>
                </c:pt>
                <c:pt idx="2">
                  <c:v>1700</c:v>
                </c:pt>
                <c:pt idx="3">
                  <c:v>1650</c:v>
                </c:pt>
                <c:pt idx="4">
                  <c:v>1600</c:v>
                </c:pt>
                <c:pt idx="5">
                  <c:v>1550</c:v>
                </c:pt>
                <c:pt idx="6">
                  <c:v>1500</c:v>
                </c:pt>
                <c:pt idx="7">
                  <c:v>1450</c:v>
                </c:pt>
                <c:pt idx="8">
                  <c:v>1400</c:v>
                </c:pt>
                <c:pt idx="9">
                  <c:v>1350</c:v>
                </c:pt>
                <c:pt idx="10">
                  <c:v>1300</c:v>
                </c:pt>
                <c:pt idx="11">
                  <c:v>1250</c:v>
                </c:pt>
                <c:pt idx="12">
                  <c:v>1200</c:v>
                </c:pt>
                <c:pt idx="13">
                  <c:v>1150</c:v>
                </c:pt>
                <c:pt idx="14">
                  <c:v>1100</c:v>
                </c:pt>
                <c:pt idx="15">
                  <c:v>1050</c:v>
                </c:pt>
                <c:pt idx="16">
                  <c:v>1000</c:v>
                </c:pt>
                <c:pt idx="17">
                  <c:v>950</c:v>
                </c:pt>
                <c:pt idx="18">
                  <c:v>900</c:v>
                </c:pt>
                <c:pt idx="19">
                  <c:v>850</c:v>
                </c:pt>
                <c:pt idx="20">
                  <c:v>800</c:v>
                </c:pt>
                <c:pt idx="21">
                  <c:v>750</c:v>
                </c:pt>
                <c:pt idx="22">
                  <c:v>700</c:v>
                </c:pt>
                <c:pt idx="23">
                  <c:v>650</c:v>
                </c:pt>
                <c:pt idx="24">
                  <c:v>600</c:v>
                </c:pt>
                <c:pt idx="25">
                  <c:v>550</c:v>
                </c:pt>
                <c:pt idx="26">
                  <c:v>500</c:v>
                </c:pt>
                <c:pt idx="27">
                  <c:v>450</c:v>
                </c:pt>
                <c:pt idx="28">
                  <c:v>400</c:v>
                </c:pt>
                <c:pt idx="29">
                  <c:v>350</c:v>
                </c:pt>
                <c:pt idx="30">
                  <c:v>300</c:v>
                </c:pt>
                <c:pt idx="31">
                  <c:v>250</c:v>
                </c:pt>
                <c:pt idx="32">
                  <c:v>200</c:v>
                </c:pt>
                <c:pt idx="33">
                  <c:v>150</c:v>
                </c:pt>
                <c:pt idx="34">
                  <c:v>100</c:v>
                </c:pt>
              </c:numCache>
            </c:numRef>
          </c:yVal>
          <c:smooth val="1"/>
          <c:extLst>
            <c:ext xmlns:c16="http://schemas.microsoft.com/office/drawing/2014/chart" uri="{C3380CC4-5D6E-409C-BE32-E72D297353CC}">
              <c16:uniqueId val="{00000001-44A4-4453-9BE1-D8066D195E1E}"/>
            </c:ext>
          </c:extLst>
        </c:ser>
        <c:ser>
          <c:idx val="1"/>
          <c:order val="1"/>
          <c:tx>
            <c:v>L = 2%</c:v>
          </c:tx>
          <c:spPr>
            <a:ln w="28575">
              <a:noFill/>
            </a:ln>
          </c:spPr>
          <c:marker>
            <c:symbol val="none"/>
          </c:marker>
          <c:trendline>
            <c:spPr>
              <a:ln w="25400">
                <a:solidFill>
                  <a:srgbClr val="000000"/>
                </a:solidFill>
                <a:prstDash val="solid"/>
              </a:ln>
            </c:spPr>
            <c:trendlineType val="log"/>
            <c:dispRSqr val="0"/>
            <c:dispEq val="0"/>
          </c:trendline>
          <c:xVal>
            <c:numRef>
              <c:f>'Left-Warrant 4-Lane'!$F$81:$F$107</c:f>
              <c:numCache>
                <c:formatCode>General</c:formatCode>
                <c:ptCount val="27"/>
                <c:pt idx="0">
                  <c:v>90</c:v>
                </c:pt>
                <c:pt idx="1">
                  <c:v>100</c:v>
                </c:pt>
                <c:pt idx="2">
                  <c:v>115</c:v>
                </c:pt>
                <c:pt idx="3">
                  <c:v>125</c:v>
                </c:pt>
                <c:pt idx="4">
                  <c:v>135</c:v>
                </c:pt>
                <c:pt idx="5">
                  <c:v>150</c:v>
                </c:pt>
                <c:pt idx="6">
                  <c:v>175</c:v>
                </c:pt>
                <c:pt idx="7">
                  <c:v>190</c:v>
                </c:pt>
                <c:pt idx="8">
                  <c:v>215</c:v>
                </c:pt>
                <c:pt idx="9">
                  <c:v>235</c:v>
                </c:pt>
                <c:pt idx="10">
                  <c:v>265</c:v>
                </c:pt>
                <c:pt idx="11">
                  <c:v>300</c:v>
                </c:pt>
                <c:pt idx="12">
                  <c:v>340</c:v>
                </c:pt>
                <c:pt idx="13">
                  <c:v>375</c:v>
                </c:pt>
                <c:pt idx="14">
                  <c:v>410</c:v>
                </c:pt>
                <c:pt idx="15">
                  <c:v>460</c:v>
                </c:pt>
                <c:pt idx="16">
                  <c:v>515</c:v>
                </c:pt>
                <c:pt idx="17">
                  <c:v>560</c:v>
                </c:pt>
                <c:pt idx="18">
                  <c:v>640</c:v>
                </c:pt>
                <c:pt idx="19">
                  <c:v>715</c:v>
                </c:pt>
                <c:pt idx="20">
                  <c:v>800</c:v>
                </c:pt>
                <c:pt idx="21">
                  <c:v>900</c:v>
                </c:pt>
                <c:pt idx="22">
                  <c:v>1000</c:v>
                </c:pt>
                <c:pt idx="23">
                  <c:v>1100</c:v>
                </c:pt>
                <c:pt idx="24">
                  <c:v>1250</c:v>
                </c:pt>
                <c:pt idx="25">
                  <c:v>1360</c:v>
                </c:pt>
                <c:pt idx="26">
                  <c:v>1560</c:v>
                </c:pt>
              </c:numCache>
            </c:numRef>
          </c:xVal>
          <c:yVal>
            <c:numRef>
              <c:f>'Left-Warrant 4-Lane'!$G$81:$G$107</c:f>
              <c:numCache>
                <c:formatCode>General</c:formatCode>
                <c:ptCount val="27"/>
                <c:pt idx="0">
                  <c:v>1400</c:v>
                </c:pt>
                <c:pt idx="1">
                  <c:v>1350</c:v>
                </c:pt>
                <c:pt idx="2">
                  <c:v>1300</c:v>
                </c:pt>
                <c:pt idx="3">
                  <c:v>1250</c:v>
                </c:pt>
                <c:pt idx="4">
                  <c:v>1200</c:v>
                </c:pt>
                <c:pt idx="5">
                  <c:v>1150</c:v>
                </c:pt>
                <c:pt idx="6">
                  <c:v>1100</c:v>
                </c:pt>
                <c:pt idx="7">
                  <c:v>1050</c:v>
                </c:pt>
                <c:pt idx="8">
                  <c:v>1000</c:v>
                </c:pt>
                <c:pt idx="9">
                  <c:v>950</c:v>
                </c:pt>
                <c:pt idx="10">
                  <c:v>900</c:v>
                </c:pt>
                <c:pt idx="11">
                  <c:v>850</c:v>
                </c:pt>
                <c:pt idx="12">
                  <c:v>800</c:v>
                </c:pt>
                <c:pt idx="13">
                  <c:v>750</c:v>
                </c:pt>
                <c:pt idx="14">
                  <c:v>700</c:v>
                </c:pt>
                <c:pt idx="15">
                  <c:v>650</c:v>
                </c:pt>
                <c:pt idx="16">
                  <c:v>600</c:v>
                </c:pt>
                <c:pt idx="17">
                  <c:v>550</c:v>
                </c:pt>
                <c:pt idx="18">
                  <c:v>500</c:v>
                </c:pt>
                <c:pt idx="19">
                  <c:v>450</c:v>
                </c:pt>
                <c:pt idx="20">
                  <c:v>400</c:v>
                </c:pt>
                <c:pt idx="21">
                  <c:v>350</c:v>
                </c:pt>
                <c:pt idx="22">
                  <c:v>300</c:v>
                </c:pt>
                <c:pt idx="23">
                  <c:v>250</c:v>
                </c:pt>
                <c:pt idx="24">
                  <c:v>200</c:v>
                </c:pt>
                <c:pt idx="25">
                  <c:v>150</c:v>
                </c:pt>
                <c:pt idx="26">
                  <c:v>100</c:v>
                </c:pt>
              </c:numCache>
            </c:numRef>
          </c:yVal>
          <c:smooth val="1"/>
          <c:extLst>
            <c:ext xmlns:c16="http://schemas.microsoft.com/office/drawing/2014/chart" uri="{C3380CC4-5D6E-409C-BE32-E72D297353CC}">
              <c16:uniqueId val="{00000003-44A4-4453-9BE1-D8066D195E1E}"/>
            </c:ext>
          </c:extLst>
        </c:ser>
        <c:ser>
          <c:idx val="2"/>
          <c:order val="2"/>
          <c:tx>
            <c:v>L = 3%</c:v>
          </c:tx>
          <c:spPr>
            <a:ln w="28575">
              <a:noFill/>
            </a:ln>
          </c:spPr>
          <c:marker>
            <c:symbol val="none"/>
          </c:marker>
          <c:trendline>
            <c:spPr>
              <a:ln w="25400">
                <a:solidFill>
                  <a:srgbClr val="000000"/>
                </a:solidFill>
                <a:prstDash val="solid"/>
              </a:ln>
            </c:spPr>
            <c:trendlineType val="log"/>
            <c:dispRSqr val="0"/>
            <c:dispEq val="0"/>
          </c:trendline>
          <c:xVal>
            <c:numRef>
              <c:f>'Left-Warrant 4-Lane'!$K$81:$K$107</c:f>
              <c:numCache>
                <c:formatCode>General</c:formatCode>
                <c:ptCount val="27"/>
                <c:pt idx="0">
                  <c:v>75</c:v>
                </c:pt>
                <c:pt idx="1">
                  <c:v>85</c:v>
                </c:pt>
                <c:pt idx="2">
                  <c:v>95</c:v>
                </c:pt>
                <c:pt idx="3">
                  <c:v>100</c:v>
                </c:pt>
                <c:pt idx="4">
                  <c:v>115</c:v>
                </c:pt>
                <c:pt idx="5">
                  <c:v>125</c:v>
                </c:pt>
                <c:pt idx="6">
                  <c:v>140</c:v>
                </c:pt>
                <c:pt idx="7">
                  <c:v>160</c:v>
                </c:pt>
                <c:pt idx="8">
                  <c:v>175</c:v>
                </c:pt>
                <c:pt idx="9">
                  <c:v>195</c:v>
                </c:pt>
                <c:pt idx="10">
                  <c:v>215</c:v>
                </c:pt>
                <c:pt idx="11">
                  <c:v>250</c:v>
                </c:pt>
                <c:pt idx="12">
                  <c:v>275</c:v>
                </c:pt>
                <c:pt idx="13">
                  <c:v>310</c:v>
                </c:pt>
                <c:pt idx="14">
                  <c:v>340</c:v>
                </c:pt>
                <c:pt idx="15">
                  <c:v>375</c:v>
                </c:pt>
                <c:pt idx="16">
                  <c:v>425</c:v>
                </c:pt>
                <c:pt idx="17">
                  <c:v>475</c:v>
                </c:pt>
                <c:pt idx="18">
                  <c:v>525</c:v>
                </c:pt>
                <c:pt idx="19">
                  <c:v>590</c:v>
                </c:pt>
                <c:pt idx="20">
                  <c:v>665</c:v>
                </c:pt>
                <c:pt idx="21">
                  <c:v>740</c:v>
                </c:pt>
                <c:pt idx="22">
                  <c:v>810</c:v>
                </c:pt>
                <c:pt idx="23">
                  <c:v>925</c:v>
                </c:pt>
                <c:pt idx="24">
                  <c:v>1025</c:v>
                </c:pt>
                <c:pt idx="25">
                  <c:v>1125</c:v>
                </c:pt>
                <c:pt idx="26">
                  <c:v>1285</c:v>
                </c:pt>
              </c:numCache>
            </c:numRef>
          </c:xVal>
          <c:yVal>
            <c:numRef>
              <c:f>'Left-Warrant 4-Lane'!$L$81:$L$107</c:f>
              <c:numCache>
                <c:formatCode>General</c:formatCode>
                <c:ptCount val="27"/>
                <c:pt idx="0">
                  <c:v>1400</c:v>
                </c:pt>
                <c:pt idx="1">
                  <c:v>1350</c:v>
                </c:pt>
                <c:pt idx="2">
                  <c:v>1300</c:v>
                </c:pt>
                <c:pt idx="3">
                  <c:v>1250</c:v>
                </c:pt>
                <c:pt idx="4">
                  <c:v>1200</c:v>
                </c:pt>
                <c:pt idx="5">
                  <c:v>1150</c:v>
                </c:pt>
                <c:pt idx="6">
                  <c:v>1100</c:v>
                </c:pt>
                <c:pt idx="7">
                  <c:v>1050</c:v>
                </c:pt>
                <c:pt idx="8">
                  <c:v>1000</c:v>
                </c:pt>
                <c:pt idx="9">
                  <c:v>950</c:v>
                </c:pt>
                <c:pt idx="10">
                  <c:v>900</c:v>
                </c:pt>
                <c:pt idx="11">
                  <c:v>850</c:v>
                </c:pt>
                <c:pt idx="12">
                  <c:v>800</c:v>
                </c:pt>
                <c:pt idx="13">
                  <c:v>750</c:v>
                </c:pt>
                <c:pt idx="14">
                  <c:v>700</c:v>
                </c:pt>
                <c:pt idx="15">
                  <c:v>650</c:v>
                </c:pt>
                <c:pt idx="16">
                  <c:v>600</c:v>
                </c:pt>
                <c:pt idx="17">
                  <c:v>550</c:v>
                </c:pt>
                <c:pt idx="18">
                  <c:v>500</c:v>
                </c:pt>
                <c:pt idx="19">
                  <c:v>450</c:v>
                </c:pt>
                <c:pt idx="20">
                  <c:v>400</c:v>
                </c:pt>
                <c:pt idx="21">
                  <c:v>350</c:v>
                </c:pt>
                <c:pt idx="22">
                  <c:v>300</c:v>
                </c:pt>
                <c:pt idx="23">
                  <c:v>250</c:v>
                </c:pt>
                <c:pt idx="24">
                  <c:v>200</c:v>
                </c:pt>
                <c:pt idx="25">
                  <c:v>150</c:v>
                </c:pt>
                <c:pt idx="26">
                  <c:v>100</c:v>
                </c:pt>
              </c:numCache>
            </c:numRef>
          </c:yVal>
          <c:smooth val="1"/>
          <c:extLst>
            <c:ext xmlns:c16="http://schemas.microsoft.com/office/drawing/2014/chart" uri="{C3380CC4-5D6E-409C-BE32-E72D297353CC}">
              <c16:uniqueId val="{00000005-44A4-4453-9BE1-D8066D195E1E}"/>
            </c:ext>
          </c:extLst>
        </c:ser>
        <c:ser>
          <c:idx val="3"/>
          <c:order val="3"/>
          <c:tx>
            <c:v>L = 5%</c:v>
          </c:tx>
          <c:spPr>
            <a:ln w="28575">
              <a:noFill/>
            </a:ln>
          </c:spPr>
          <c:marker>
            <c:symbol val="none"/>
          </c:marker>
          <c:trendline>
            <c:spPr>
              <a:ln w="25400">
                <a:solidFill>
                  <a:srgbClr val="000000"/>
                </a:solidFill>
                <a:prstDash val="solid"/>
              </a:ln>
            </c:spPr>
            <c:trendlineType val="log"/>
            <c:dispRSqr val="0"/>
            <c:dispEq val="0"/>
          </c:trendline>
          <c:xVal>
            <c:numRef>
              <c:f>'Left-Warrant 4-Lane'!$P$81:$P$103</c:f>
              <c:numCache>
                <c:formatCode>General</c:formatCode>
                <c:ptCount val="23"/>
                <c:pt idx="0">
                  <c:v>95</c:v>
                </c:pt>
                <c:pt idx="1">
                  <c:v>100</c:v>
                </c:pt>
                <c:pt idx="2">
                  <c:v>115</c:v>
                </c:pt>
                <c:pt idx="3">
                  <c:v>130</c:v>
                </c:pt>
                <c:pt idx="4">
                  <c:v>150</c:v>
                </c:pt>
                <c:pt idx="5">
                  <c:v>155</c:v>
                </c:pt>
                <c:pt idx="6">
                  <c:v>175</c:v>
                </c:pt>
                <c:pt idx="7">
                  <c:v>190</c:v>
                </c:pt>
                <c:pt idx="8">
                  <c:v>215</c:v>
                </c:pt>
                <c:pt idx="9">
                  <c:v>250</c:v>
                </c:pt>
                <c:pt idx="10">
                  <c:v>265</c:v>
                </c:pt>
                <c:pt idx="11">
                  <c:v>300</c:v>
                </c:pt>
                <c:pt idx="12">
                  <c:v>325</c:v>
                </c:pt>
                <c:pt idx="13">
                  <c:v>375</c:v>
                </c:pt>
                <c:pt idx="14">
                  <c:v>410</c:v>
                </c:pt>
                <c:pt idx="15">
                  <c:v>455</c:v>
                </c:pt>
                <c:pt idx="16">
                  <c:v>525</c:v>
                </c:pt>
                <c:pt idx="17">
                  <c:v>575</c:v>
                </c:pt>
                <c:pt idx="18">
                  <c:v>640</c:v>
                </c:pt>
                <c:pt idx="19">
                  <c:v>710</c:v>
                </c:pt>
                <c:pt idx="20">
                  <c:v>800</c:v>
                </c:pt>
                <c:pt idx="21">
                  <c:v>885</c:v>
                </c:pt>
                <c:pt idx="22">
                  <c:v>1000</c:v>
                </c:pt>
              </c:numCache>
            </c:numRef>
          </c:xVal>
          <c:yVal>
            <c:numRef>
              <c:f>'Left-Warrant 4-Lane'!$Q$81:$Q$103</c:f>
              <c:numCache>
                <c:formatCode>General</c:formatCode>
                <c:ptCount val="23"/>
                <c:pt idx="0">
                  <c:v>1200</c:v>
                </c:pt>
                <c:pt idx="1">
                  <c:v>1150</c:v>
                </c:pt>
                <c:pt idx="2">
                  <c:v>1100</c:v>
                </c:pt>
                <c:pt idx="3">
                  <c:v>1050</c:v>
                </c:pt>
                <c:pt idx="4">
                  <c:v>1000</c:v>
                </c:pt>
                <c:pt idx="5">
                  <c:v>950</c:v>
                </c:pt>
                <c:pt idx="6">
                  <c:v>900</c:v>
                </c:pt>
                <c:pt idx="7">
                  <c:v>850</c:v>
                </c:pt>
                <c:pt idx="8">
                  <c:v>800</c:v>
                </c:pt>
                <c:pt idx="9">
                  <c:v>750</c:v>
                </c:pt>
                <c:pt idx="10">
                  <c:v>700</c:v>
                </c:pt>
                <c:pt idx="11">
                  <c:v>650</c:v>
                </c:pt>
                <c:pt idx="12">
                  <c:v>600</c:v>
                </c:pt>
                <c:pt idx="13">
                  <c:v>550</c:v>
                </c:pt>
                <c:pt idx="14">
                  <c:v>500</c:v>
                </c:pt>
                <c:pt idx="15">
                  <c:v>450</c:v>
                </c:pt>
                <c:pt idx="16">
                  <c:v>400</c:v>
                </c:pt>
                <c:pt idx="17">
                  <c:v>350</c:v>
                </c:pt>
                <c:pt idx="18">
                  <c:v>300</c:v>
                </c:pt>
                <c:pt idx="19">
                  <c:v>250</c:v>
                </c:pt>
                <c:pt idx="20">
                  <c:v>200</c:v>
                </c:pt>
                <c:pt idx="21">
                  <c:v>150</c:v>
                </c:pt>
                <c:pt idx="22">
                  <c:v>100</c:v>
                </c:pt>
              </c:numCache>
            </c:numRef>
          </c:yVal>
          <c:smooth val="1"/>
          <c:extLst>
            <c:ext xmlns:c16="http://schemas.microsoft.com/office/drawing/2014/chart" uri="{C3380CC4-5D6E-409C-BE32-E72D297353CC}">
              <c16:uniqueId val="{00000007-44A4-4453-9BE1-D8066D195E1E}"/>
            </c:ext>
          </c:extLst>
        </c:ser>
        <c:ser>
          <c:idx val="4"/>
          <c:order val="4"/>
          <c:tx>
            <c:v>L = 10%</c:v>
          </c:tx>
          <c:spPr>
            <a:ln w="28575">
              <a:noFill/>
            </a:ln>
          </c:spPr>
          <c:marker>
            <c:symbol val="none"/>
          </c:marker>
          <c:trendline>
            <c:spPr>
              <a:ln w="25400">
                <a:solidFill>
                  <a:srgbClr val="000000"/>
                </a:solidFill>
                <a:prstDash val="solid"/>
              </a:ln>
            </c:spPr>
            <c:trendlineType val="log"/>
            <c:dispRSqr val="0"/>
            <c:dispEq val="0"/>
          </c:trendline>
          <c:xVal>
            <c:numRef>
              <c:f>'Left-Warrant 4-Lane'!$A$120:$A$146</c:f>
              <c:numCache>
                <c:formatCode>General</c:formatCode>
                <c:ptCount val="27"/>
                <c:pt idx="0">
                  <c:v>45</c:v>
                </c:pt>
                <c:pt idx="1">
                  <c:v>50</c:v>
                </c:pt>
                <c:pt idx="2">
                  <c:v>55</c:v>
                </c:pt>
                <c:pt idx="3">
                  <c:v>60</c:v>
                </c:pt>
                <c:pt idx="4">
                  <c:v>65</c:v>
                </c:pt>
                <c:pt idx="5">
                  <c:v>75</c:v>
                </c:pt>
                <c:pt idx="6">
                  <c:v>90</c:v>
                </c:pt>
                <c:pt idx="7">
                  <c:v>100</c:v>
                </c:pt>
                <c:pt idx="8">
                  <c:v>105</c:v>
                </c:pt>
                <c:pt idx="9">
                  <c:v>115</c:v>
                </c:pt>
                <c:pt idx="10">
                  <c:v>130</c:v>
                </c:pt>
                <c:pt idx="11">
                  <c:v>150</c:v>
                </c:pt>
                <c:pt idx="12">
                  <c:v>160</c:v>
                </c:pt>
                <c:pt idx="13">
                  <c:v>180</c:v>
                </c:pt>
                <c:pt idx="14">
                  <c:v>190</c:v>
                </c:pt>
                <c:pt idx="15">
                  <c:v>215</c:v>
                </c:pt>
                <c:pt idx="16">
                  <c:v>240</c:v>
                </c:pt>
                <c:pt idx="17">
                  <c:v>275</c:v>
                </c:pt>
                <c:pt idx="18">
                  <c:v>300</c:v>
                </c:pt>
                <c:pt idx="19">
                  <c:v>335</c:v>
                </c:pt>
                <c:pt idx="20">
                  <c:v>375</c:v>
                </c:pt>
                <c:pt idx="21">
                  <c:v>415</c:v>
                </c:pt>
                <c:pt idx="22">
                  <c:v>460</c:v>
                </c:pt>
                <c:pt idx="23">
                  <c:v>525</c:v>
                </c:pt>
                <c:pt idx="24">
                  <c:v>575</c:v>
                </c:pt>
                <c:pt idx="25">
                  <c:v>640</c:v>
                </c:pt>
                <c:pt idx="26">
                  <c:v>725</c:v>
                </c:pt>
              </c:numCache>
            </c:numRef>
          </c:xVal>
          <c:yVal>
            <c:numRef>
              <c:f>'Left-Warrant 4-Lane'!$B$120:$B$146</c:f>
              <c:numCache>
                <c:formatCode>General</c:formatCode>
                <c:ptCount val="27"/>
                <c:pt idx="0">
                  <c:v>1400</c:v>
                </c:pt>
                <c:pt idx="1">
                  <c:v>1350</c:v>
                </c:pt>
                <c:pt idx="2">
                  <c:v>1300</c:v>
                </c:pt>
                <c:pt idx="3">
                  <c:v>1250</c:v>
                </c:pt>
                <c:pt idx="4">
                  <c:v>1200</c:v>
                </c:pt>
                <c:pt idx="5">
                  <c:v>1150</c:v>
                </c:pt>
                <c:pt idx="6">
                  <c:v>1100</c:v>
                </c:pt>
                <c:pt idx="7">
                  <c:v>1050</c:v>
                </c:pt>
                <c:pt idx="8">
                  <c:v>1000</c:v>
                </c:pt>
                <c:pt idx="9">
                  <c:v>950</c:v>
                </c:pt>
                <c:pt idx="10">
                  <c:v>900</c:v>
                </c:pt>
                <c:pt idx="11">
                  <c:v>850</c:v>
                </c:pt>
                <c:pt idx="12">
                  <c:v>800</c:v>
                </c:pt>
                <c:pt idx="13">
                  <c:v>750</c:v>
                </c:pt>
                <c:pt idx="14">
                  <c:v>700</c:v>
                </c:pt>
                <c:pt idx="15">
                  <c:v>650</c:v>
                </c:pt>
                <c:pt idx="16">
                  <c:v>600</c:v>
                </c:pt>
                <c:pt idx="17">
                  <c:v>550</c:v>
                </c:pt>
                <c:pt idx="18">
                  <c:v>500</c:v>
                </c:pt>
                <c:pt idx="19">
                  <c:v>450</c:v>
                </c:pt>
                <c:pt idx="20">
                  <c:v>400</c:v>
                </c:pt>
                <c:pt idx="21">
                  <c:v>350</c:v>
                </c:pt>
                <c:pt idx="22">
                  <c:v>300</c:v>
                </c:pt>
                <c:pt idx="23">
                  <c:v>250</c:v>
                </c:pt>
                <c:pt idx="24">
                  <c:v>200</c:v>
                </c:pt>
                <c:pt idx="25">
                  <c:v>150</c:v>
                </c:pt>
                <c:pt idx="26">
                  <c:v>100</c:v>
                </c:pt>
              </c:numCache>
            </c:numRef>
          </c:yVal>
          <c:smooth val="1"/>
          <c:extLst>
            <c:ext xmlns:c16="http://schemas.microsoft.com/office/drawing/2014/chart" uri="{C3380CC4-5D6E-409C-BE32-E72D297353CC}">
              <c16:uniqueId val="{00000009-44A4-4453-9BE1-D8066D195E1E}"/>
            </c:ext>
          </c:extLst>
        </c:ser>
        <c:ser>
          <c:idx val="5"/>
          <c:order val="5"/>
          <c:tx>
            <c:v>L = 15%</c:v>
          </c:tx>
          <c:spPr>
            <a:ln w="28575">
              <a:noFill/>
            </a:ln>
          </c:spPr>
          <c:marker>
            <c:symbol val="none"/>
          </c:marker>
          <c:trendline>
            <c:spPr>
              <a:ln w="25400">
                <a:solidFill>
                  <a:srgbClr val="000000"/>
                </a:solidFill>
                <a:prstDash val="solid"/>
              </a:ln>
            </c:spPr>
            <c:trendlineType val="log"/>
            <c:dispRSqr val="0"/>
            <c:dispEq val="0"/>
          </c:trendline>
          <c:xVal>
            <c:numRef>
              <c:f>'Left-Warrant 4-Lane'!$F$120:$F$142</c:f>
              <c:numCache>
                <c:formatCode>General</c:formatCode>
                <c:ptCount val="23"/>
                <c:pt idx="0">
                  <c:v>55</c:v>
                </c:pt>
                <c:pt idx="1">
                  <c:v>65</c:v>
                </c:pt>
                <c:pt idx="2">
                  <c:v>75</c:v>
                </c:pt>
                <c:pt idx="3">
                  <c:v>85</c:v>
                </c:pt>
                <c:pt idx="4">
                  <c:v>90</c:v>
                </c:pt>
                <c:pt idx="5">
                  <c:v>100</c:v>
                </c:pt>
                <c:pt idx="6">
                  <c:v>110</c:v>
                </c:pt>
                <c:pt idx="7">
                  <c:v>125</c:v>
                </c:pt>
                <c:pt idx="8">
                  <c:v>140</c:v>
                </c:pt>
                <c:pt idx="9">
                  <c:v>150</c:v>
                </c:pt>
                <c:pt idx="10">
                  <c:v>165</c:v>
                </c:pt>
                <c:pt idx="11">
                  <c:v>185</c:v>
                </c:pt>
                <c:pt idx="12">
                  <c:v>200</c:v>
                </c:pt>
                <c:pt idx="13">
                  <c:v>225</c:v>
                </c:pt>
                <c:pt idx="14">
                  <c:v>255</c:v>
                </c:pt>
                <c:pt idx="15">
                  <c:v>285</c:v>
                </c:pt>
                <c:pt idx="16">
                  <c:v>315</c:v>
                </c:pt>
                <c:pt idx="17">
                  <c:v>350</c:v>
                </c:pt>
                <c:pt idx="18">
                  <c:v>390</c:v>
                </c:pt>
                <c:pt idx="19">
                  <c:v>440</c:v>
                </c:pt>
                <c:pt idx="20">
                  <c:v>490</c:v>
                </c:pt>
                <c:pt idx="21">
                  <c:v>550</c:v>
                </c:pt>
                <c:pt idx="22">
                  <c:v>605</c:v>
                </c:pt>
              </c:numCache>
            </c:numRef>
          </c:xVal>
          <c:yVal>
            <c:numRef>
              <c:f>'Left-Warrant 4-Lane'!$G$120:$G$142</c:f>
              <c:numCache>
                <c:formatCode>General</c:formatCode>
                <c:ptCount val="23"/>
                <c:pt idx="0">
                  <c:v>1200</c:v>
                </c:pt>
                <c:pt idx="1">
                  <c:v>1150</c:v>
                </c:pt>
                <c:pt idx="2">
                  <c:v>1100</c:v>
                </c:pt>
                <c:pt idx="3">
                  <c:v>1050</c:v>
                </c:pt>
                <c:pt idx="4">
                  <c:v>1000</c:v>
                </c:pt>
                <c:pt idx="5">
                  <c:v>950</c:v>
                </c:pt>
                <c:pt idx="6">
                  <c:v>900</c:v>
                </c:pt>
                <c:pt idx="7">
                  <c:v>850</c:v>
                </c:pt>
                <c:pt idx="8">
                  <c:v>800</c:v>
                </c:pt>
                <c:pt idx="9">
                  <c:v>750</c:v>
                </c:pt>
                <c:pt idx="10">
                  <c:v>700</c:v>
                </c:pt>
                <c:pt idx="11">
                  <c:v>650</c:v>
                </c:pt>
                <c:pt idx="12">
                  <c:v>600</c:v>
                </c:pt>
                <c:pt idx="13">
                  <c:v>550</c:v>
                </c:pt>
                <c:pt idx="14">
                  <c:v>500</c:v>
                </c:pt>
                <c:pt idx="15">
                  <c:v>450</c:v>
                </c:pt>
                <c:pt idx="16">
                  <c:v>400</c:v>
                </c:pt>
                <c:pt idx="17">
                  <c:v>350</c:v>
                </c:pt>
                <c:pt idx="18">
                  <c:v>300</c:v>
                </c:pt>
                <c:pt idx="19">
                  <c:v>250</c:v>
                </c:pt>
                <c:pt idx="20">
                  <c:v>200</c:v>
                </c:pt>
                <c:pt idx="21">
                  <c:v>150</c:v>
                </c:pt>
                <c:pt idx="22">
                  <c:v>100</c:v>
                </c:pt>
              </c:numCache>
            </c:numRef>
          </c:yVal>
          <c:smooth val="1"/>
          <c:extLst>
            <c:ext xmlns:c16="http://schemas.microsoft.com/office/drawing/2014/chart" uri="{C3380CC4-5D6E-409C-BE32-E72D297353CC}">
              <c16:uniqueId val="{0000000B-44A4-4453-9BE1-D8066D195E1E}"/>
            </c:ext>
          </c:extLst>
        </c:ser>
        <c:ser>
          <c:idx val="6"/>
          <c:order val="6"/>
          <c:tx>
            <c:v>L = 20%</c:v>
          </c:tx>
          <c:spPr>
            <a:ln w="28575">
              <a:noFill/>
            </a:ln>
          </c:spPr>
          <c:marker>
            <c:symbol val="none"/>
          </c:marker>
          <c:trendline>
            <c:spPr>
              <a:ln w="25400">
                <a:solidFill>
                  <a:srgbClr val="000000"/>
                </a:solidFill>
                <a:prstDash val="solid"/>
              </a:ln>
            </c:spPr>
            <c:trendlineType val="log"/>
            <c:dispRSqr val="0"/>
            <c:dispEq val="0"/>
          </c:trendline>
          <c:xVal>
            <c:numRef>
              <c:f>'Left-Warrant 4-Lane'!$K$120:$K$134</c:f>
              <c:numCache>
                <c:formatCode>General</c:formatCode>
                <c:ptCount val="15"/>
                <c:pt idx="0">
                  <c:v>125</c:v>
                </c:pt>
                <c:pt idx="1">
                  <c:v>135</c:v>
                </c:pt>
                <c:pt idx="2">
                  <c:v>150</c:v>
                </c:pt>
                <c:pt idx="3">
                  <c:v>165</c:v>
                </c:pt>
                <c:pt idx="4">
                  <c:v>180</c:v>
                </c:pt>
                <c:pt idx="5">
                  <c:v>200</c:v>
                </c:pt>
                <c:pt idx="6">
                  <c:v>225</c:v>
                </c:pt>
                <c:pt idx="7">
                  <c:v>255</c:v>
                </c:pt>
                <c:pt idx="8">
                  <c:v>280</c:v>
                </c:pt>
                <c:pt idx="9">
                  <c:v>310</c:v>
                </c:pt>
                <c:pt idx="10">
                  <c:v>350</c:v>
                </c:pt>
                <c:pt idx="11">
                  <c:v>390</c:v>
                </c:pt>
                <c:pt idx="12">
                  <c:v>435</c:v>
                </c:pt>
                <c:pt idx="13">
                  <c:v>490</c:v>
                </c:pt>
                <c:pt idx="14">
                  <c:v>550</c:v>
                </c:pt>
              </c:numCache>
            </c:numRef>
          </c:xVal>
          <c:yVal>
            <c:numRef>
              <c:f>'Left-Warrant 4-Lane'!$L$120:$L$134</c:f>
              <c:numCache>
                <c:formatCode>General</c:formatCode>
                <c:ptCount val="15"/>
                <c:pt idx="0">
                  <c:v>800</c:v>
                </c:pt>
                <c:pt idx="1">
                  <c:v>750</c:v>
                </c:pt>
                <c:pt idx="2">
                  <c:v>700</c:v>
                </c:pt>
                <c:pt idx="3">
                  <c:v>650</c:v>
                </c:pt>
                <c:pt idx="4">
                  <c:v>600</c:v>
                </c:pt>
                <c:pt idx="5">
                  <c:v>550</c:v>
                </c:pt>
                <c:pt idx="6">
                  <c:v>500</c:v>
                </c:pt>
                <c:pt idx="7">
                  <c:v>450</c:v>
                </c:pt>
                <c:pt idx="8">
                  <c:v>400</c:v>
                </c:pt>
                <c:pt idx="9">
                  <c:v>350</c:v>
                </c:pt>
                <c:pt idx="10">
                  <c:v>300</c:v>
                </c:pt>
                <c:pt idx="11">
                  <c:v>250</c:v>
                </c:pt>
                <c:pt idx="12">
                  <c:v>200</c:v>
                </c:pt>
                <c:pt idx="13">
                  <c:v>150</c:v>
                </c:pt>
                <c:pt idx="14">
                  <c:v>100</c:v>
                </c:pt>
              </c:numCache>
            </c:numRef>
          </c:yVal>
          <c:smooth val="1"/>
          <c:extLst>
            <c:ext xmlns:c16="http://schemas.microsoft.com/office/drawing/2014/chart" uri="{C3380CC4-5D6E-409C-BE32-E72D297353CC}">
              <c16:uniqueId val="{0000000D-44A4-4453-9BE1-D8066D195E1E}"/>
            </c:ext>
          </c:extLst>
        </c:ser>
        <c:ser>
          <c:idx val="7"/>
          <c:order val="7"/>
          <c:tx>
            <c:v>L = 50%</c:v>
          </c:tx>
          <c:spPr>
            <a:ln w="28575">
              <a:noFill/>
            </a:ln>
          </c:spPr>
          <c:marker>
            <c:symbol val="none"/>
          </c:marker>
          <c:trendline>
            <c:spPr>
              <a:ln w="25400">
                <a:solidFill>
                  <a:srgbClr val="000000"/>
                </a:solidFill>
                <a:prstDash val="solid"/>
              </a:ln>
            </c:spPr>
            <c:trendlineType val="exp"/>
            <c:dispRSqr val="0"/>
            <c:dispEq val="0"/>
          </c:trendline>
          <c:xVal>
            <c:numRef>
              <c:f>'Left-Warrant 4-Lane'!$P$120:$P$154</c:f>
              <c:numCache>
                <c:formatCode>General</c:formatCode>
                <c:ptCount val="35"/>
                <c:pt idx="0">
                  <c:v>5</c:v>
                </c:pt>
                <c:pt idx="1">
                  <c:v>5</c:v>
                </c:pt>
                <c:pt idx="2">
                  <c:v>8</c:v>
                </c:pt>
                <c:pt idx="3">
                  <c:v>10</c:v>
                </c:pt>
                <c:pt idx="4">
                  <c:v>15</c:v>
                </c:pt>
                <c:pt idx="5">
                  <c:v>20</c:v>
                </c:pt>
                <c:pt idx="6">
                  <c:v>25</c:v>
                </c:pt>
                <c:pt idx="7">
                  <c:v>30</c:v>
                </c:pt>
                <c:pt idx="8">
                  <c:v>35</c:v>
                </c:pt>
                <c:pt idx="9">
                  <c:v>38</c:v>
                </c:pt>
                <c:pt idx="10">
                  <c:v>40</c:v>
                </c:pt>
                <c:pt idx="11">
                  <c:v>42</c:v>
                </c:pt>
                <c:pt idx="12">
                  <c:v>45</c:v>
                </c:pt>
                <c:pt idx="13">
                  <c:v>48</c:v>
                </c:pt>
                <c:pt idx="14">
                  <c:v>50</c:v>
                </c:pt>
                <c:pt idx="15">
                  <c:v>55</c:v>
                </c:pt>
                <c:pt idx="16">
                  <c:v>60</c:v>
                </c:pt>
                <c:pt idx="17">
                  <c:v>70</c:v>
                </c:pt>
                <c:pt idx="18">
                  <c:v>80</c:v>
                </c:pt>
                <c:pt idx="19">
                  <c:v>90</c:v>
                </c:pt>
                <c:pt idx="20">
                  <c:v>100</c:v>
                </c:pt>
                <c:pt idx="21">
                  <c:v>115</c:v>
                </c:pt>
                <c:pt idx="22">
                  <c:v>125</c:v>
                </c:pt>
                <c:pt idx="23">
                  <c:v>140</c:v>
                </c:pt>
                <c:pt idx="24">
                  <c:v>150</c:v>
                </c:pt>
                <c:pt idx="25">
                  <c:v>165</c:v>
                </c:pt>
                <c:pt idx="26">
                  <c:v>180</c:v>
                </c:pt>
                <c:pt idx="27">
                  <c:v>200</c:v>
                </c:pt>
                <c:pt idx="28">
                  <c:v>225</c:v>
                </c:pt>
                <c:pt idx="29">
                  <c:v>250</c:v>
                </c:pt>
                <c:pt idx="30">
                  <c:v>275</c:v>
                </c:pt>
                <c:pt idx="31">
                  <c:v>315</c:v>
                </c:pt>
                <c:pt idx="32">
                  <c:v>350</c:v>
                </c:pt>
                <c:pt idx="33">
                  <c:v>385</c:v>
                </c:pt>
                <c:pt idx="34">
                  <c:v>440</c:v>
                </c:pt>
              </c:numCache>
            </c:numRef>
          </c:xVal>
          <c:yVal>
            <c:numRef>
              <c:f>'Left-Warrant 4-Lane'!$Q$120:$Q$154</c:f>
              <c:numCache>
                <c:formatCode>General</c:formatCode>
                <c:ptCount val="35"/>
                <c:pt idx="0">
                  <c:v>1800</c:v>
                </c:pt>
                <c:pt idx="1">
                  <c:v>1750</c:v>
                </c:pt>
                <c:pt idx="2">
                  <c:v>1700</c:v>
                </c:pt>
                <c:pt idx="3">
                  <c:v>1650</c:v>
                </c:pt>
                <c:pt idx="4">
                  <c:v>1600</c:v>
                </c:pt>
                <c:pt idx="5">
                  <c:v>1550</c:v>
                </c:pt>
                <c:pt idx="6">
                  <c:v>1500</c:v>
                </c:pt>
                <c:pt idx="7">
                  <c:v>1450</c:v>
                </c:pt>
                <c:pt idx="8">
                  <c:v>1400</c:v>
                </c:pt>
                <c:pt idx="9">
                  <c:v>1350</c:v>
                </c:pt>
                <c:pt idx="10">
                  <c:v>1300</c:v>
                </c:pt>
                <c:pt idx="11">
                  <c:v>1250</c:v>
                </c:pt>
                <c:pt idx="12">
                  <c:v>1200</c:v>
                </c:pt>
                <c:pt idx="13">
                  <c:v>1150</c:v>
                </c:pt>
                <c:pt idx="14">
                  <c:v>1100</c:v>
                </c:pt>
                <c:pt idx="15">
                  <c:v>1050</c:v>
                </c:pt>
                <c:pt idx="16">
                  <c:v>1000</c:v>
                </c:pt>
                <c:pt idx="17">
                  <c:v>950</c:v>
                </c:pt>
                <c:pt idx="18">
                  <c:v>900</c:v>
                </c:pt>
                <c:pt idx="19">
                  <c:v>850</c:v>
                </c:pt>
                <c:pt idx="20">
                  <c:v>800</c:v>
                </c:pt>
                <c:pt idx="21">
                  <c:v>750</c:v>
                </c:pt>
                <c:pt idx="22">
                  <c:v>700</c:v>
                </c:pt>
                <c:pt idx="23">
                  <c:v>650</c:v>
                </c:pt>
                <c:pt idx="24">
                  <c:v>600</c:v>
                </c:pt>
                <c:pt idx="25">
                  <c:v>550</c:v>
                </c:pt>
                <c:pt idx="26">
                  <c:v>500</c:v>
                </c:pt>
                <c:pt idx="27">
                  <c:v>450</c:v>
                </c:pt>
                <c:pt idx="28">
                  <c:v>400</c:v>
                </c:pt>
                <c:pt idx="29">
                  <c:v>350</c:v>
                </c:pt>
                <c:pt idx="30">
                  <c:v>300</c:v>
                </c:pt>
                <c:pt idx="31">
                  <c:v>250</c:v>
                </c:pt>
                <c:pt idx="32">
                  <c:v>200</c:v>
                </c:pt>
                <c:pt idx="33">
                  <c:v>150</c:v>
                </c:pt>
                <c:pt idx="34">
                  <c:v>100</c:v>
                </c:pt>
              </c:numCache>
            </c:numRef>
          </c:yVal>
          <c:smooth val="1"/>
          <c:extLst>
            <c:ext xmlns:c16="http://schemas.microsoft.com/office/drawing/2014/chart" uri="{C3380CC4-5D6E-409C-BE32-E72D297353CC}">
              <c16:uniqueId val="{0000000F-44A4-4453-9BE1-D8066D195E1E}"/>
            </c:ext>
          </c:extLst>
        </c:ser>
        <c:ser>
          <c:idx val="8"/>
          <c:order val="8"/>
          <c:tx>
            <c:v>Volume Data Point</c:v>
          </c:tx>
          <c:spPr>
            <a:ln w="28575">
              <a:noFill/>
            </a:ln>
          </c:spPr>
          <c:marker>
            <c:symbol val="circle"/>
            <c:size val="4"/>
            <c:spPr>
              <a:solidFill>
                <a:srgbClr val="FF0000"/>
              </a:solidFill>
              <a:ln>
                <a:noFill/>
              </a:ln>
            </c:spPr>
          </c:marker>
          <c:dLbls>
            <c:spPr>
              <a:solidFill>
                <a:sysClr val="window" lastClr="FFFFFF">
                  <a:lumMod val="75000"/>
                </a:sysClr>
              </a:solidFill>
              <a:ln>
                <a:solidFill>
                  <a:sysClr val="windowText" lastClr="000000"/>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'Inputs&amp;Findings'!$BU$5</c:f>
              <c:numCache>
                <c:formatCode>0</c:formatCode>
                <c:ptCount val="1"/>
                <c:pt idx="0">
                  <c:v>0</c:v>
                </c:pt>
              </c:numCache>
            </c:numRef>
          </c:xVal>
          <c:yVal>
            <c:numRef>
              <c:f>'Inputs&amp;Findings'!$BU$6</c:f>
              <c:numCache>
                <c:formatCode>0</c:formatCode>
                <c:ptCount val="1"/>
                <c:pt idx="0">
                  <c:v>0</c:v>
                </c:pt>
              </c:numCache>
            </c:numRef>
          </c:yVal>
          <c:smooth val="1"/>
          <c:extLst>
            <c:ext xmlns:c16="http://schemas.microsoft.com/office/drawing/2014/chart" uri="{C3380CC4-5D6E-409C-BE32-E72D297353CC}">
              <c16:uniqueId val="{00000010-44A4-4453-9BE1-D8066D195E1E}"/>
            </c:ext>
          </c:extLst>
        </c:ser>
        <c:ser>
          <c:idx val="9"/>
          <c:order val="9"/>
          <c:tx>
            <c:v>Graph Line X</c:v>
          </c:tx>
          <c:spPr>
            <a:ln w="19050">
              <a:solidFill>
                <a:srgbClr val="FF0000"/>
              </a:solidFill>
              <a:prstDash val="sysDash"/>
            </a:ln>
          </c:spPr>
          <c:marker>
            <c:symbol val="none"/>
          </c:marker>
          <c:xVal>
            <c:numRef>
              <c:f>'Inputs&amp;Findings'!$BN$45:$BN$46</c:f>
              <c:numCache>
                <c:formatCode>0</c:formatCode>
                <c:ptCount val="2"/>
                <c:pt idx="0" formatCode="General">
                  <c:v>0</c:v>
                </c:pt>
                <c:pt idx="1">
                  <c:v>0</c:v>
                </c:pt>
              </c:numCache>
            </c:numRef>
          </c:xVal>
          <c:yVal>
            <c:numRef>
              <c:f>'Inputs&amp;Findings'!$BO$45:$BO$46</c:f>
              <c:numCache>
                <c:formatCode>0</c:formatCode>
                <c:ptCount val="2"/>
                <c:pt idx="0">
                  <c:v>0</c:v>
                </c:pt>
                <c:pt idx="1">
                  <c:v>0</c:v>
                </c:pt>
              </c:numCache>
            </c:numRef>
          </c:yVal>
          <c:smooth val="1"/>
          <c:extLst>
            <c:ext xmlns:c16="http://schemas.microsoft.com/office/drawing/2014/chart" uri="{C3380CC4-5D6E-409C-BE32-E72D297353CC}">
              <c16:uniqueId val="{00000011-44A4-4453-9BE1-D8066D195E1E}"/>
            </c:ext>
          </c:extLst>
        </c:ser>
        <c:ser>
          <c:idx val="10"/>
          <c:order val="10"/>
          <c:tx>
            <c:v>Graph Line Y</c:v>
          </c:tx>
          <c:spPr>
            <a:ln w="19050">
              <a:solidFill>
                <a:srgbClr val="FF0000"/>
              </a:solidFill>
              <a:prstDash val="sysDash"/>
            </a:ln>
          </c:spPr>
          <c:marker>
            <c:symbol val="none"/>
          </c:marker>
          <c:xVal>
            <c:numRef>
              <c:f>'Inputs&amp;Findings'!$BP$45:$BP$46</c:f>
              <c:numCache>
                <c:formatCode>0</c:formatCode>
                <c:ptCount val="2"/>
                <c:pt idx="0">
                  <c:v>0</c:v>
                </c:pt>
                <c:pt idx="1">
                  <c:v>0</c:v>
                </c:pt>
              </c:numCache>
            </c:numRef>
          </c:xVal>
          <c:yVal>
            <c:numRef>
              <c:f>'Inputs&amp;Findings'!$BQ$45:$BQ$46</c:f>
              <c:numCache>
                <c:formatCode>0</c:formatCode>
                <c:ptCount val="2"/>
                <c:pt idx="0" formatCode="General">
                  <c:v>0</c:v>
                </c:pt>
                <c:pt idx="1">
                  <c:v>0</c:v>
                </c:pt>
              </c:numCache>
            </c:numRef>
          </c:yVal>
          <c:smooth val="1"/>
          <c:extLst>
            <c:ext xmlns:c16="http://schemas.microsoft.com/office/drawing/2014/chart" uri="{C3380CC4-5D6E-409C-BE32-E72D297353CC}">
              <c16:uniqueId val="{00000012-44A4-4453-9BE1-D8066D195E1E}"/>
            </c:ext>
          </c:extLst>
        </c:ser>
        <c:dLbls>
          <c:showLegendKey val="0"/>
          <c:showVal val="0"/>
          <c:showCatName val="0"/>
          <c:showSerName val="0"/>
          <c:showPercent val="0"/>
          <c:showBubbleSize val="0"/>
        </c:dLbls>
        <c:axId val="490299104"/>
        <c:axId val="490299496"/>
      </c:scatterChart>
      <c:valAx>
        <c:axId val="490299104"/>
        <c:scaling>
          <c:orientation val="minMax"/>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(VPH)</a:t>
                </a:r>
              </a:p>
            </c:rich>
          </c:tx>
          <c:layout>
            <c:manualLayout>
              <c:xMode val="edge"/>
              <c:yMode val="edge"/>
              <c:x val="0.43618201997780376"/>
              <c:y val="0.944535073409461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9496"/>
        <c:crosses val="autoZero"/>
        <c:crossBetween val="midCat"/>
      </c:valAx>
      <c:valAx>
        <c:axId val="490299496"/>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Opposing Volume (VPH)</a:t>
                </a:r>
              </a:p>
            </c:rich>
          </c:tx>
          <c:layout>
            <c:manualLayout>
              <c:xMode val="edge"/>
              <c:yMode val="edge"/>
              <c:x val="1.2208657047724751E-2"/>
              <c:y val="0.393148450244698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299104"/>
        <c:crosses val="autoZero"/>
        <c:crossBetween val="midCat"/>
      </c:valAx>
      <c:spPr>
        <a:noFill/>
        <a:ln w="12700">
          <a:solidFill>
            <a:srgbClr val="808080"/>
          </a:solidFill>
          <a:prstDash val="solid"/>
        </a:ln>
      </c:spPr>
    </c:plotArea>
    <c:legend>
      <c:legendPos val="t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overlay val="0"/>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100" b="1" i="0" u="none" strike="noStrike" baseline="0">
                <a:solidFill>
                  <a:srgbClr val="000000"/>
                </a:solidFill>
                <a:latin typeface="Arial"/>
                <a:ea typeface="Arial"/>
                <a:cs typeface="Arial"/>
              </a:defRPr>
            </a:pPr>
            <a:r>
              <a:rPr lang="en-US"/>
              <a:t>Figure 9. Warrant for right turn lanes on two-lane roadways 
(40 mph or lower speeds, unsignalized and signalized intersections)</a:t>
            </a:r>
          </a:p>
        </c:rich>
      </c:tx>
      <c:overlay val="1"/>
      <c:spPr>
        <a:noFill/>
        <a:ln w="25400">
          <a:noFill/>
        </a:ln>
      </c:spPr>
    </c:title>
    <c:autoTitleDeleted val="0"/>
    <c:plotArea>
      <c:layout>
        <c:manualLayout>
          <c:layoutTarget val="inner"/>
          <c:xMode val="edge"/>
          <c:yMode val="edge"/>
          <c:x val="6.2430323299888534E-2"/>
          <c:y val="0.15057283142389524"/>
          <c:w val="0.72909698996655459"/>
          <c:h val="0.73322422258592779"/>
        </c:manualLayout>
      </c:layout>
      <c:scatterChart>
        <c:scatterStyle val="smoothMarker"/>
        <c:varyColors val="0"/>
        <c:ser>
          <c:idx val="0"/>
          <c:order val="0"/>
          <c:tx>
            <c:v>Warrant</c:v>
          </c:tx>
          <c:spPr>
            <a:ln>
              <a:solidFill>
                <a:srgbClr val="000000"/>
              </a:solidFill>
            </a:ln>
          </c:spPr>
          <c:marker>
            <c:symbol val="none"/>
          </c:marker>
          <c:dLbls>
            <c:delete val="1"/>
          </c:dLbls>
          <c:xVal>
            <c:numRef>
              <c:f>'Right-Warrant'!$B$3:$B$10</c:f>
              <c:numCache>
                <c:formatCode>General</c:formatCode>
                <c:ptCount val="8"/>
                <c:pt idx="0">
                  <c:v>355</c:v>
                </c:pt>
                <c:pt idx="1">
                  <c:v>375</c:v>
                </c:pt>
                <c:pt idx="2">
                  <c:v>400</c:v>
                </c:pt>
                <c:pt idx="3">
                  <c:v>455</c:v>
                </c:pt>
                <c:pt idx="4">
                  <c:v>558</c:v>
                </c:pt>
                <c:pt idx="5">
                  <c:v>781</c:v>
                </c:pt>
                <c:pt idx="6">
                  <c:v>1030</c:v>
                </c:pt>
                <c:pt idx="7">
                  <c:v>1200</c:v>
                </c:pt>
              </c:numCache>
            </c:numRef>
          </c:xVal>
          <c:yVal>
            <c:numRef>
              <c:f>'Right-Warrant'!$A$3:$A$10</c:f>
              <c:numCache>
                <c:formatCode>General</c:formatCode>
                <c:ptCount val="8"/>
                <c:pt idx="0">
                  <c:v>150</c:v>
                </c:pt>
                <c:pt idx="1">
                  <c:v>120</c:v>
                </c:pt>
                <c:pt idx="2">
                  <c:v>100</c:v>
                </c:pt>
                <c:pt idx="3">
                  <c:v>80</c:v>
                </c:pt>
                <c:pt idx="4">
                  <c:v>60</c:v>
                </c:pt>
                <c:pt idx="5">
                  <c:v>40</c:v>
                </c:pt>
                <c:pt idx="6">
                  <c:v>30</c:v>
                </c:pt>
                <c:pt idx="7">
                  <c:v>26</c:v>
                </c:pt>
              </c:numCache>
            </c:numRef>
          </c:yVal>
          <c:smooth val="1"/>
          <c:extLst>
            <c:ext xmlns:c16="http://schemas.microsoft.com/office/drawing/2014/chart" uri="{C3380CC4-5D6E-409C-BE32-E72D297353CC}">
              <c16:uniqueId val="{00000000-C215-4F02-985A-B0DC2599A1C3}"/>
            </c:ext>
          </c:extLst>
        </c:ser>
        <c:ser>
          <c:idx val="3"/>
          <c:order val="1"/>
          <c:tx>
            <c:v>Volume Data Point</c:v>
          </c:tx>
          <c:spPr>
            <a:ln w="19050">
              <a:noFill/>
            </a:ln>
          </c:spPr>
          <c:marker>
            <c:symbol val="circle"/>
            <c:size val="4"/>
            <c:spPr>
              <a:solidFill>
                <a:srgbClr val="FF0000"/>
              </a:solidFill>
              <a:ln>
                <a:noFill/>
              </a:ln>
            </c:spPr>
          </c:marker>
          <c:dLbls>
            <c:spPr>
              <a:solidFill>
                <a:schemeClr val="bg1">
                  <a:lumMod val="75000"/>
                </a:schemeClr>
              </a:solidFill>
              <a:ln>
                <a:solidFill>
                  <a:sysClr val="windowText" lastClr="000000"/>
                </a:solidFill>
              </a:ln>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'Inputs&amp;Findings'!$BN$11</c:f>
              <c:numCache>
                <c:formatCode>0</c:formatCode>
                <c:ptCount val="1"/>
                <c:pt idx="0">
                  <c:v>0</c:v>
                </c:pt>
              </c:numCache>
            </c:numRef>
          </c:xVal>
          <c:yVal>
            <c:numRef>
              <c:f>'Inputs&amp;Findings'!$BN$12</c:f>
              <c:numCache>
                <c:formatCode>0</c:formatCode>
                <c:ptCount val="1"/>
                <c:pt idx="0">
                  <c:v>0</c:v>
                </c:pt>
              </c:numCache>
            </c:numRef>
          </c:yVal>
          <c:smooth val="1"/>
          <c:extLst>
            <c:ext xmlns:c16="http://schemas.microsoft.com/office/drawing/2014/chart" uri="{C3380CC4-5D6E-409C-BE32-E72D297353CC}">
              <c16:uniqueId val="{00000001-C215-4F02-985A-B0DC2599A1C3}"/>
            </c:ext>
          </c:extLst>
        </c:ser>
        <c:ser>
          <c:idx val="1"/>
          <c:order val="2"/>
          <c:tx>
            <c:v>Graph Line X</c:v>
          </c:tx>
          <c:spPr>
            <a:ln w="19050">
              <a:solidFill>
                <a:srgbClr val="FF0000"/>
              </a:solidFill>
              <a:prstDash val="sysDash"/>
            </a:ln>
          </c:spPr>
          <c:marker>
            <c:symbol val="none"/>
          </c:marker>
          <c:dLbls>
            <c:delete val="1"/>
          </c:dLbls>
          <c:xVal>
            <c:numRef>
              <c:f>'Inputs&amp;Findings'!$BS$17:$BS$18</c:f>
              <c:numCache>
                <c:formatCode>0</c:formatCode>
                <c:ptCount val="2"/>
                <c:pt idx="0" formatCode="General">
                  <c:v>0</c:v>
                </c:pt>
                <c:pt idx="1">
                  <c:v>0</c:v>
                </c:pt>
              </c:numCache>
            </c:numRef>
          </c:xVal>
          <c:yVal>
            <c:numRef>
              <c:f>'Inputs&amp;Findings'!$BT$17:$BT$18</c:f>
              <c:numCache>
                <c:formatCode>0</c:formatCode>
                <c:ptCount val="2"/>
                <c:pt idx="0">
                  <c:v>0</c:v>
                </c:pt>
                <c:pt idx="1">
                  <c:v>0</c:v>
                </c:pt>
              </c:numCache>
            </c:numRef>
          </c:yVal>
          <c:smooth val="1"/>
          <c:extLst>
            <c:ext xmlns:c16="http://schemas.microsoft.com/office/drawing/2014/chart" uri="{C3380CC4-5D6E-409C-BE32-E72D297353CC}">
              <c16:uniqueId val="{00000002-C215-4F02-985A-B0DC2599A1C3}"/>
            </c:ext>
          </c:extLst>
        </c:ser>
        <c:ser>
          <c:idx val="2"/>
          <c:order val="3"/>
          <c:tx>
            <c:v>Graph Line Y</c:v>
          </c:tx>
          <c:spPr>
            <a:ln w="19050">
              <a:solidFill>
                <a:srgbClr val="FF0000"/>
              </a:solidFill>
              <a:prstDash val="sysDash"/>
            </a:ln>
          </c:spPr>
          <c:marker>
            <c:symbol val="none"/>
          </c:marker>
          <c:dLbls>
            <c:delete val="1"/>
          </c:dLbls>
          <c:xVal>
            <c:numRef>
              <c:f>'Inputs&amp;Findings'!$BU$17:$BU$18</c:f>
              <c:numCache>
                <c:formatCode>0</c:formatCode>
                <c:ptCount val="2"/>
                <c:pt idx="0">
                  <c:v>0</c:v>
                </c:pt>
                <c:pt idx="1">
                  <c:v>0</c:v>
                </c:pt>
              </c:numCache>
            </c:numRef>
          </c:xVal>
          <c:yVal>
            <c:numRef>
              <c:f>'Inputs&amp;Findings'!$BV$17:$BV$18</c:f>
              <c:numCache>
                <c:formatCode>0</c:formatCode>
                <c:ptCount val="2"/>
                <c:pt idx="0" formatCode="General">
                  <c:v>0</c:v>
                </c:pt>
                <c:pt idx="1">
                  <c:v>0</c:v>
                </c:pt>
              </c:numCache>
            </c:numRef>
          </c:yVal>
          <c:smooth val="1"/>
          <c:extLst>
            <c:ext xmlns:c16="http://schemas.microsoft.com/office/drawing/2014/chart" uri="{C3380CC4-5D6E-409C-BE32-E72D297353CC}">
              <c16:uniqueId val="{00000003-C215-4F02-985A-B0DC2599A1C3}"/>
            </c:ext>
          </c:extLst>
        </c:ser>
        <c:dLbls>
          <c:showLegendKey val="0"/>
          <c:showVal val="1"/>
          <c:showCatName val="0"/>
          <c:showSerName val="0"/>
          <c:showPercent val="0"/>
          <c:showBubbleSize val="0"/>
        </c:dLbls>
        <c:axId val="490300280"/>
        <c:axId val="490300672"/>
      </c:scatterChart>
      <c:valAx>
        <c:axId val="490300280"/>
        <c:scaling>
          <c:orientation val="minMax"/>
          <c:max val="1300"/>
          <c:min val="2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Advancing Volume including Right Turns (VPH)</a:t>
                </a:r>
              </a:p>
            </c:rich>
          </c:tx>
          <c:layout>
            <c:manualLayout>
              <c:xMode val="edge"/>
              <c:yMode val="edge"/>
              <c:x val="0.34036253829475588"/>
              <c:y val="0.944535140963352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300672"/>
        <c:crosses val="autoZero"/>
        <c:crossBetween val="midCat"/>
        <c:minorUnit val="100"/>
      </c:valAx>
      <c:valAx>
        <c:axId val="490300672"/>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Right Turning Traffic (VPH)</a:t>
                </a:r>
              </a:p>
            </c:rich>
          </c:tx>
          <c:layout>
            <c:manualLayout>
              <c:xMode val="edge"/>
              <c:yMode val="edge"/>
              <c:x val="1.220867458457325E-2"/>
              <c:y val="0.39314853237453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90300280"/>
        <c:crosses val="autoZero"/>
        <c:crossBetween val="midCat"/>
        <c:minorUnit val="10"/>
      </c:valAx>
    </c:plotArea>
    <c:legend>
      <c:legendPos val="r"/>
      <c:legendEntry>
        <c:idx val="0"/>
        <c:delete val="1"/>
      </c:legendEntry>
      <c:legendEntry>
        <c:idx val="2"/>
        <c:delete val="1"/>
      </c:legendEntry>
      <c:legendEntry>
        <c:idx val="3"/>
        <c:delete val="1"/>
      </c:legendEntry>
      <c:overlay val="0"/>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codeName="Chart1">
    <tabColor theme="3" tint="0.39997558519241921"/>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10.xml><?xml version="1.0" encoding="utf-8"?>
<chartsheet xmlns="http://schemas.openxmlformats.org/spreadsheetml/2006/main" xmlns:r="http://schemas.openxmlformats.org/officeDocument/2006/relationships">
  <sheetPr codeName="Chart9">
    <tabColor indexed="10"/>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11.xml><?xml version="1.0" encoding="utf-8"?>
<chartsheet xmlns="http://schemas.openxmlformats.org/spreadsheetml/2006/main" xmlns:r="http://schemas.openxmlformats.org/officeDocument/2006/relationships">
  <sheetPr codeName="Chart10">
    <tabColor indexed="10"/>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12.xml><?xml version="1.0" encoding="utf-8"?>
<chartsheet xmlns="http://schemas.openxmlformats.org/spreadsheetml/2006/main" xmlns:r="http://schemas.openxmlformats.org/officeDocument/2006/relationships">
  <sheetPr codeName="Chart11">
    <tabColor indexed="10"/>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Chart2">
    <tabColor theme="3" tint="0.39997558519241921"/>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codeName="Chart3">
    <tabColor theme="3" tint="0.39997558519241921"/>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Chart4">
    <tabColor theme="3" tint="0.39997558519241921"/>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codeName="Chart5">
    <tabColor theme="3" tint="0.39997558519241921"/>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codeName="Chart6">
    <tabColor theme="3" tint="0.39997558519241921"/>
  </sheetPr>
  <sheetViews>
    <sheetView zoomScale="110" workbookViewId="0"/>
  </sheetViews>
  <pageMargins left="0.75" right="0.75" top="1" bottom="1" header="0.5" footer="0.5"/>
  <pageSetup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sheetPr codeName="Chart7">
    <tabColor theme="3" tint="0.39997558519241921"/>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8.xml><?xml version="1.0" encoding="utf-8"?>
<chartsheet xmlns="http://schemas.openxmlformats.org/spreadsheetml/2006/main" xmlns:r="http://schemas.openxmlformats.org/officeDocument/2006/relationships">
  <sheetPr codeName="Chart12">
    <tabColor theme="3" tint="0.39997558519241921"/>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chartsheets/sheet9.xml><?xml version="1.0" encoding="utf-8"?>
<chartsheet xmlns="http://schemas.openxmlformats.org/spreadsheetml/2006/main" xmlns:r="http://schemas.openxmlformats.org/officeDocument/2006/relationships">
  <sheetPr codeName="Chart8">
    <tabColor indexed="10"/>
  </sheetPr>
  <sheetViews>
    <sheetView zoomScale="110" workbookViewId="0"/>
  </sheetViews>
  <sheetProtection password="C74A" content="1" objects="1"/>
  <pageMargins left="0.75" right="0.75" top="1" bottom="1" header="0.5" footer="0.5"/>
  <pageSetup orientation="landscape" r:id="rId1"/>
  <headerFooter alignWithMargins="0"/>
  <drawing r:id="rId2"/>
</chartsheet>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53</xdr:col>
      <xdr:colOff>783169</xdr:colOff>
      <xdr:row>0</xdr:row>
      <xdr:rowOff>0</xdr:rowOff>
    </xdr:from>
    <xdr:to>
      <xdr:col>91</xdr:col>
      <xdr:colOff>132294</xdr:colOff>
      <xdr:row>60</xdr:row>
      <xdr:rowOff>47624</xdr:rowOff>
    </xdr:to>
    <xdr:sp macro="" textlink="">
      <xdr:nvSpPr>
        <xdr:cNvPr id="2" name="Rectangle 1">
          <a:extLst>
            <a:ext uri="{FF2B5EF4-FFF2-40B4-BE49-F238E27FC236}">
              <a16:creationId xmlns:a16="http://schemas.microsoft.com/office/drawing/2014/main" id="{00000000-0008-0000-0100-000002000000}"/>
            </a:ext>
          </a:extLst>
        </xdr:cNvPr>
        <xdr:cNvSpPr/>
      </xdr:nvSpPr>
      <xdr:spPr bwMode="auto">
        <a:xfrm>
          <a:off x="13470469" y="0"/>
          <a:ext cx="24857075" cy="10906124"/>
        </a:xfrm>
        <a:prstGeom prst="rect">
          <a:avLst/>
        </a:prstGeom>
        <a:solidFill>
          <a:sysClr val="window" lastClr="FFFFFF">
            <a:lumMod val="75000"/>
          </a:sys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absoluteAnchor>
    <xdr:pos x="0" y="0"/>
    <xdr:ext cx="8546523" cy="581025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0.094</cdr:x>
      <cdr:y>0.68375</cdr:y>
    </cdr:from>
    <cdr:to>
      <cdr:x>0.18025</cdr:x>
      <cdr:y>0.7725</cdr:y>
    </cdr:to>
    <cdr:sp macro="" textlink="">
      <cdr:nvSpPr>
        <cdr:cNvPr id="30922" name="Text Box 1">
          <a:extLst xmlns:a="http://schemas.openxmlformats.org/drawingml/2006/main">
            <a:ext uri="{FF2B5EF4-FFF2-40B4-BE49-F238E27FC236}">
              <a16:creationId xmlns:a16="http://schemas.microsoft.com/office/drawing/2014/main" id="{95D1D7AD-74B9-45C0-AF87-1DD13D8DE328}"/>
            </a:ext>
          </a:extLst>
        </cdr:cNvPr>
        <cdr:cNvSpPr txBox="1">
          <a:spLocks xmlns:a="http://schemas.openxmlformats.org/drawingml/2006/main" noChangeArrowheads="1"/>
        </cdr:cNvSpPr>
      </cdr:nvSpPr>
      <cdr:spPr bwMode="auto">
        <a:xfrm xmlns:a="http://schemas.openxmlformats.org/drawingml/2006/main">
          <a:off x="803129" y="3979271"/>
          <a:ext cx="736913" cy="5165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 Not Warranted</a:t>
          </a:r>
        </a:p>
      </cdr:txBody>
    </cdr:sp>
  </cdr:relSizeAnchor>
  <cdr:relSizeAnchor xmlns:cdr="http://schemas.openxmlformats.org/drawingml/2006/chartDrawing">
    <cdr:from>
      <cdr:x>0.52275</cdr:x>
      <cdr:y>0.40475</cdr:y>
    </cdr:from>
    <cdr:to>
      <cdr:x>0.63675</cdr:x>
      <cdr:y>0.46975</cdr:y>
    </cdr:to>
    <cdr:sp macro="" textlink="">
      <cdr:nvSpPr>
        <cdr:cNvPr id="30923" name="Text Box 2">
          <a:extLst xmlns:a="http://schemas.openxmlformats.org/drawingml/2006/main">
            <a:ext uri="{FF2B5EF4-FFF2-40B4-BE49-F238E27FC236}">
              <a16:creationId xmlns:a16="http://schemas.microsoft.com/office/drawing/2014/main" id="{0BFDED02-31F3-4E81-A3BA-269F7A4A469C}"/>
            </a:ext>
          </a:extLst>
        </cdr:cNvPr>
        <cdr:cNvSpPr txBox="1">
          <a:spLocks xmlns:a="http://schemas.openxmlformats.org/drawingml/2006/main" noChangeArrowheads="1"/>
        </cdr:cNvSpPr>
      </cdr:nvSpPr>
      <cdr:spPr bwMode="auto">
        <a:xfrm xmlns:a="http://schemas.openxmlformats.org/drawingml/2006/main">
          <a:off x="4466337" y="2355554"/>
          <a:ext cx="974007" cy="3782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 Warranted</a:t>
          </a:r>
        </a:p>
      </cdr:txBody>
    </cdr:sp>
  </cdr:relSizeAnchor>
  <cdr:relSizeAnchor xmlns:cdr="http://schemas.openxmlformats.org/drawingml/2006/chartDrawing">
    <cdr:from>
      <cdr:x>0.716</cdr:x>
      <cdr:y>0.82025</cdr:y>
    </cdr:from>
    <cdr:to>
      <cdr:x>0.73552</cdr:x>
      <cdr:y>0.84448</cdr:y>
    </cdr:to>
    <cdr:sp macro="" textlink="">
      <cdr:nvSpPr>
        <cdr:cNvPr id="30924" name="Text Box 204">
          <a:extLst xmlns:a="http://schemas.openxmlformats.org/drawingml/2006/main">
            <a:ext uri="{FF2B5EF4-FFF2-40B4-BE49-F238E27FC236}">
              <a16:creationId xmlns:a16="http://schemas.microsoft.com/office/drawing/2014/main" id="{33F5E9B6-7274-46AD-BD2F-54AE4F44DA09}"/>
            </a:ext>
          </a:extLst>
        </cdr:cNvPr>
        <cdr:cNvSpPr txBox="1">
          <a:spLocks xmlns:a="http://schemas.openxmlformats.org/drawingml/2006/main" noChangeArrowheads="1"/>
        </cdr:cNvSpPr>
      </cdr:nvSpPr>
      <cdr:spPr bwMode="auto">
        <a:xfrm xmlns:a="http://schemas.openxmlformats.org/drawingml/2006/main">
          <a:off x="6117450"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a:t>
          </a:r>
        </a:p>
      </cdr:txBody>
    </cdr:sp>
  </cdr:relSizeAnchor>
  <cdr:relSizeAnchor xmlns:cdr="http://schemas.openxmlformats.org/drawingml/2006/chartDrawing">
    <cdr:from>
      <cdr:x>0.53225</cdr:x>
      <cdr:y>0.82025</cdr:y>
    </cdr:from>
    <cdr:to>
      <cdr:x>0.55177</cdr:x>
      <cdr:y>0.84448</cdr:y>
    </cdr:to>
    <cdr:sp macro="" textlink="">
      <cdr:nvSpPr>
        <cdr:cNvPr id="30925" name="Text Box 205">
          <a:extLst xmlns:a="http://schemas.openxmlformats.org/drawingml/2006/main">
            <a:ext uri="{FF2B5EF4-FFF2-40B4-BE49-F238E27FC236}">
              <a16:creationId xmlns:a16="http://schemas.microsoft.com/office/drawing/2014/main" id="{25311BDE-6260-47A4-B455-6B8C617C8278}"/>
            </a:ext>
          </a:extLst>
        </cdr:cNvPr>
        <cdr:cNvSpPr txBox="1">
          <a:spLocks xmlns:a="http://schemas.openxmlformats.org/drawingml/2006/main" noChangeArrowheads="1"/>
        </cdr:cNvSpPr>
      </cdr:nvSpPr>
      <cdr:spPr bwMode="auto">
        <a:xfrm xmlns:a="http://schemas.openxmlformats.org/drawingml/2006/main">
          <a:off x="4547504"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a:t>
          </a:r>
        </a:p>
      </cdr:txBody>
    </cdr:sp>
  </cdr:relSizeAnchor>
  <cdr:relSizeAnchor xmlns:cdr="http://schemas.openxmlformats.org/drawingml/2006/chartDrawing">
    <cdr:from>
      <cdr:x>0.45375</cdr:x>
      <cdr:y>0.82025</cdr:y>
    </cdr:from>
    <cdr:to>
      <cdr:x>0.47327</cdr:x>
      <cdr:y>0.84448</cdr:y>
    </cdr:to>
    <cdr:sp macro="" textlink="">
      <cdr:nvSpPr>
        <cdr:cNvPr id="30926" name="Text Box 206">
          <a:extLst xmlns:a="http://schemas.openxmlformats.org/drawingml/2006/main">
            <a:ext uri="{FF2B5EF4-FFF2-40B4-BE49-F238E27FC236}">
              <a16:creationId xmlns:a16="http://schemas.microsoft.com/office/drawing/2014/main" id="{3832CA9F-76D1-438F-BED8-E44936002D03}"/>
            </a:ext>
          </a:extLst>
        </cdr:cNvPr>
        <cdr:cNvSpPr txBox="1">
          <a:spLocks xmlns:a="http://schemas.openxmlformats.org/drawingml/2006/main" noChangeArrowheads="1"/>
        </cdr:cNvSpPr>
      </cdr:nvSpPr>
      <cdr:spPr bwMode="auto">
        <a:xfrm xmlns:a="http://schemas.openxmlformats.org/drawingml/2006/main">
          <a:off x="3876806"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a:t>
          </a:r>
        </a:p>
      </cdr:txBody>
    </cdr:sp>
  </cdr:relSizeAnchor>
  <cdr:relSizeAnchor xmlns:cdr="http://schemas.openxmlformats.org/drawingml/2006/chartDrawing">
    <cdr:from>
      <cdr:x>0.4025</cdr:x>
      <cdr:y>0.82025</cdr:y>
    </cdr:from>
    <cdr:to>
      <cdr:x>0.42202</cdr:x>
      <cdr:y>0.84448</cdr:y>
    </cdr:to>
    <cdr:sp macro="" textlink="">
      <cdr:nvSpPr>
        <cdr:cNvPr id="30927" name="Text Box 207">
          <a:extLst xmlns:a="http://schemas.openxmlformats.org/drawingml/2006/main">
            <a:ext uri="{FF2B5EF4-FFF2-40B4-BE49-F238E27FC236}">
              <a16:creationId xmlns:a16="http://schemas.microsoft.com/office/drawing/2014/main" id="{FD9340BB-D867-4EBE-A280-92FBE6C130C9}"/>
            </a:ext>
          </a:extLst>
        </cdr:cNvPr>
        <cdr:cNvSpPr txBox="1">
          <a:spLocks xmlns:a="http://schemas.openxmlformats.org/drawingml/2006/main" noChangeArrowheads="1"/>
        </cdr:cNvSpPr>
      </cdr:nvSpPr>
      <cdr:spPr bwMode="auto">
        <a:xfrm xmlns:a="http://schemas.openxmlformats.org/drawingml/2006/main">
          <a:off x="3438930"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a:t>
          </a:r>
        </a:p>
      </cdr:txBody>
    </cdr:sp>
  </cdr:relSizeAnchor>
  <cdr:relSizeAnchor xmlns:cdr="http://schemas.openxmlformats.org/drawingml/2006/chartDrawing">
    <cdr:from>
      <cdr:x>0.37125</cdr:x>
      <cdr:y>0.82025</cdr:y>
    </cdr:from>
    <cdr:to>
      <cdr:x>0.39077</cdr:x>
      <cdr:y>0.84448</cdr:y>
    </cdr:to>
    <cdr:sp macro="" textlink="">
      <cdr:nvSpPr>
        <cdr:cNvPr id="30928" name="Text Box 208">
          <a:extLst xmlns:a="http://schemas.openxmlformats.org/drawingml/2006/main">
            <a:ext uri="{FF2B5EF4-FFF2-40B4-BE49-F238E27FC236}">
              <a16:creationId xmlns:a16="http://schemas.microsoft.com/office/drawing/2014/main" id="{9DFED06E-375A-4268-8381-D7ECAC008017}"/>
            </a:ext>
          </a:extLst>
        </cdr:cNvPr>
        <cdr:cNvSpPr txBox="1">
          <a:spLocks xmlns:a="http://schemas.openxmlformats.org/drawingml/2006/main" noChangeArrowheads="1"/>
        </cdr:cNvSpPr>
      </cdr:nvSpPr>
      <cdr:spPr bwMode="auto">
        <a:xfrm xmlns:a="http://schemas.openxmlformats.org/drawingml/2006/main">
          <a:off x="3171932"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5%</a:t>
          </a:r>
        </a:p>
      </cdr:txBody>
    </cdr:sp>
  </cdr:relSizeAnchor>
  <cdr:relSizeAnchor xmlns:cdr="http://schemas.openxmlformats.org/drawingml/2006/chartDrawing">
    <cdr:from>
      <cdr:x>0.29</cdr:x>
      <cdr:y>0.82025</cdr:y>
    </cdr:from>
    <cdr:to>
      <cdr:x>0.3162</cdr:x>
      <cdr:y>0.84448</cdr:y>
    </cdr:to>
    <cdr:sp macro="" textlink="">
      <cdr:nvSpPr>
        <cdr:cNvPr id="30929" name="Text Box 209">
          <a:extLst xmlns:a="http://schemas.openxmlformats.org/drawingml/2006/main">
            <a:ext uri="{FF2B5EF4-FFF2-40B4-BE49-F238E27FC236}">
              <a16:creationId xmlns:a16="http://schemas.microsoft.com/office/drawing/2014/main" id="{BD43BD3B-477C-4CA6-99FD-3E1B5A23B218}"/>
            </a:ext>
          </a:extLst>
        </cdr:cNvPr>
        <cdr:cNvSpPr txBox="1">
          <a:spLocks xmlns:a="http://schemas.openxmlformats.org/drawingml/2006/main" noChangeArrowheads="1"/>
        </cdr:cNvSpPr>
      </cdr:nvSpPr>
      <cdr:spPr bwMode="auto">
        <a:xfrm xmlns:a="http://schemas.openxmlformats.org/drawingml/2006/main">
          <a:off x="2477738"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10%</a:t>
          </a:r>
        </a:p>
      </cdr:txBody>
    </cdr:sp>
  </cdr:relSizeAnchor>
  <cdr:relSizeAnchor xmlns:cdr="http://schemas.openxmlformats.org/drawingml/2006/chartDrawing">
    <cdr:from>
      <cdr:x>0.2585</cdr:x>
      <cdr:y>0.82025</cdr:y>
    </cdr:from>
    <cdr:to>
      <cdr:x>0.2847</cdr:x>
      <cdr:y>0.84448</cdr:y>
    </cdr:to>
    <cdr:sp macro="" textlink="">
      <cdr:nvSpPr>
        <cdr:cNvPr id="30930" name="Text Box 210">
          <a:extLst xmlns:a="http://schemas.openxmlformats.org/drawingml/2006/main">
            <a:ext uri="{FF2B5EF4-FFF2-40B4-BE49-F238E27FC236}">
              <a16:creationId xmlns:a16="http://schemas.microsoft.com/office/drawing/2014/main" id="{8F7840EA-0BB9-4722-81A3-E897796D244D}"/>
            </a:ext>
          </a:extLst>
        </cdr:cNvPr>
        <cdr:cNvSpPr txBox="1">
          <a:spLocks xmlns:a="http://schemas.openxmlformats.org/drawingml/2006/main" noChangeArrowheads="1"/>
        </cdr:cNvSpPr>
      </cdr:nvSpPr>
      <cdr:spPr bwMode="auto">
        <a:xfrm xmlns:a="http://schemas.openxmlformats.org/drawingml/2006/main">
          <a:off x="2208605"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15%</a:t>
          </a:r>
        </a:p>
      </cdr:txBody>
    </cdr:sp>
  </cdr:relSizeAnchor>
  <cdr:relSizeAnchor xmlns:cdr="http://schemas.openxmlformats.org/drawingml/2006/chartDrawing">
    <cdr:from>
      <cdr:x>0.238</cdr:x>
      <cdr:y>0.82025</cdr:y>
    </cdr:from>
    <cdr:to>
      <cdr:x>0.2642</cdr:x>
      <cdr:y>0.84448</cdr:y>
    </cdr:to>
    <cdr:sp macro="" textlink="">
      <cdr:nvSpPr>
        <cdr:cNvPr id="30931" name="Text Box 211">
          <a:extLst xmlns:a="http://schemas.openxmlformats.org/drawingml/2006/main">
            <a:ext uri="{FF2B5EF4-FFF2-40B4-BE49-F238E27FC236}">
              <a16:creationId xmlns:a16="http://schemas.microsoft.com/office/drawing/2014/main" id="{84D6C23A-7D21-408D-9F5B-4AEE8B4FEFC5}"/>
            </a:ext>
          </a:extLst>
        </cdr:cNvPr>
        <cdr:cNvSpPr txBox="1">
          <a:spLocks xmlns:a="http://schemas.openxmlformats.org/drawingml/2006/main" noChangeArrowheads="1"/>
        </cdr:cNvSpPr>
      </cdr:nvSpPr>
      <cdr:spPr bwMode="auto">
        <a:xfrm xmlns:a="http://schemas.openxmlformats.org/drawingml/2006/main">
          <a:off x="2033454"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20%</a:t>
          </a:r>
        </a:p>
      </cdr:txBody>
    </cdr:sp>
  </cdr:relSizeAnchor>
  <cdr:relSizeAnchor xmlns:cdr="http://schemas.openxmlformats.org/drawingml/2006/chartDrawing">
    <cdr:from>
      <cdr:x>0.2195</cdr:x>
      <cdr:y>0.82025</cdr:y>
    </cdr:from>
    <cdr:to>
      <cdr:x>0.2457</cdr:x>
      <cdr:y>0.84448</cdr:y>
    </cdr:to>
    <cdr:sp macro="" textlink="">
      <cdr:nvSpPr>
        <cdr:cNvPr id="30932" name="Text Box 212">
          <a:extLst xmlns:a="http://schemas.openxmlformats.org/drawingml/2006/main">
            <a:ext uri="{FF2B5EF4-FFF2-40B4-BE49-F238E27FC236}">
              <a16:creationId xmlns:a16="http://schemas.microsoft.com/office/drawing/2014/main" id="{98EFADEE-53DF-4BA8-9568-983C29C07F0C}"/>
            </a:ext>
          </a:extLst>
        </cdr:cNvPr>
        <cdr:cNvSpPr txBox="1">
          <a:spLocks xmlns:a="http://schemas.openxmlformats.org/drawingml/2006/main" noChangeArrowheads="1"/>
        </cdr:cNvSpPr>
      </cdr:nvSpPr>
      <cdr:spPr bwMode="auto">
        <a:xfrm xmlns:a="http://schemas.openxmlformats.org/drawingml/2006/main">
          <a:off x="1875392"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30%</a:t>
          </a:r>
        </a:p>
      </cdr:txBody>
    </cdr:sp>
  </cdr:relSizeAnchor>
  <cdr:relSizeAnchor xmlns:cdr="http://schemas.openxmlformats.org/drawingml/2006/chartDrawing">
    <cdr:from>
      <cdr:x>0.20025</cdr:x>
      <cdr:y>0.82025</cdr:y>
    </cdr:from>
    <cdr:to>
      <cdr:x>0.22645</cdr:x>
      <cdr:y>0.84448</cdr:y>
    </cdr:to>
    <cdr:sp macro="" textlink="">
      <cdr:nvSpPr>
        <cdr:cNvPr id="30933" name="Text Box 213">
          <a:extLst xmlns:a="http://schemas.openxmlformats.org/drawingml/2006/main">
            <a:ext uri="{FF2B5EF4-FFF2-40B4-BE49-F238E27FC236}">
              <a16:creationId xmlns:a16="http://schemas.microsoft.com/office/drawing/2014/main" id="{765E6920-6FC6-4CA2-89A0-5E4A14DCC55E}"/>
            </a:ext>
          </a:extLst>
        </cdr:cNvPr>
        <cdr:cNvSpPr txBox="1">
          <a:spLocks xmlns:a="http://schemas.openxmlformats.org/drawingml/2006/main" noChangeArrowheads="1"/>
        </cdr:cNvSpPr>
      </cdr:nvSpPr>
      <cdr:spPr bwMode="auto">
        <a:xfrm xmlns:a="http://schemas.openxmlformats.org/drawingml/2006/main">
          <a:off x="1710921"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40%</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8572500" cy="5827568"/>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0.082</cdr:x>
      <cdr:y>0.77175</cdr:y>
    </cdr:from>
    <cdr:to>
      <cdr:x>0.1635</cdr:x>
      <cdr:y>0.86675</cdr:y>
    </cdr:to>
    <cdr:sp macro="" textlink="">
      <cdr:nvSpPr>
        <cdr:cNvPr id="4239" name="Text Box 7">
          <a:extLst xmlns:a="http://schemas.openxmlformats.org/drawingml/2006/main">
            <a:ext uri="{FF2B5EF4-FFF2-40B4-BE49-F238E27FC236}">
              <a16:creationId xmlns:a16="http://schemas.microsoft.com/office/drawing/2014/main" id="{47E199EB-2BBB-4CAB-8A73-8C7DFFDBF16D}"/>
            </a:ext>
          </a:extLst>
        </cdr:cNvPr>
        <cdr:cNvSpPr txBox="1">
          <a:spLocks xmlns:a="http://schemas.openxmlformats.org/drawingml/2006/main" noChangeArrowheads="1"/>
        </cdr:cNvSpPr>
      </cdr:nvSpPr>
      <cdr:spPr bwMode="auto">
        <a:xfrm xmlns:a="http://schemas.openxmlformats.org/drawingml/2006/main">
          <a:off x="700602" y="4491411"/>
          <a:ext cx="696330" cy="5528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 Not Warranted</a:t>
          </a:r>
        </a:p>
      </cdr:txBody>
    </cdr:sp>
  </cdr:relSizeAnchor>
  <cdr:relSizeAnchor xmlns:cdr="http://schemas.openxmlformats.org/drawingml/2006/chartDrawing">
    <cdr:from>
      <cdr:x>0.5735</cdr:x>
      <cdr:y>0.30025</cdr:y>
    </cdr:from>
    <cdr:to>
      <cdr:x>0.6885</cdr:x>
      <cdr:y>0.369</cdr:y>
    </cdr:to>
    <cdr:sp macro="" textlink="">
      <cdr:nvSpPr>
        <cdr:cNvPr id="4240" name="Text Box 8">
          <a:extLst xmlns:a="http://schemas.openxmlformats.org/drawingml/2006/main">
            <a:ext uri="{FF2B5EF4-FFF2-40B4-BE49-F238E27FC236}">
              <a16:creationId xmlns:a16="http://schemas.microsoft.com/office/drawing/2014/main" id="{3654866E-AD23-4773-B8DD-3591C382DBC6}"/>
            </a:ext>
          </a:extLst>
        </cdr:cNvPr>
        <cdr:cNvSpPr txBox="1">
          <a:spLocks xmlns:a="http://schemas.openxmlformats.org/drawingml/2006/main" noChangeArrowheads="1"/>
        </cdr:cNvSpPr>
      </cdr:nvSpPr>
      <cdr:spPr bwMode="auto">
        <a:xfrm xmlns:a="http://schemas.openxmlformats.org/drawingml/2006/main">
          <a:off x="4899941" y="1747387"/>
          <a:ext cx="982551" cy="400110"/>
        </a:xfrm>
        <a:prstGeom xmlns:a="http://schemas.openxmlformats.org/drawingml/2006/main" prst="rect">
          <a:avLst/>
        </a:prstGeom>
        <a:noFill xmlns:a="http://schemas.openxmlformats.org/drawingml/2006/main"/>
        <a:ln xmlns:a="http://schemas.openxmlformats.org/drawingml/2006/main" w="9525" algn="ctr">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dr:relSizeAnchor xmlns:cdr="http://schemas.openxmlformats.org/drawingml/2006/chartDrawing">
    <cdr:from>
      <cdr:x>0.738</cdr:x>
      <cdr:y>0.82025</cdr:y>
    </cdr:from>
    <cdr:to>
      <cdr:x>0.75752</cdr:x>
      <cdr:y>0.84448</cdr:y>
    </cdr:to>
    <cdr:sp macro="" textlink="">
      <cdr:nvSpPr>
        <cdr:cNvPr id="4241" name="Text Box 145">
          <a:extLst xmlns:a="http://schemas.openxmlformats.org/drawingml/2006/main">
            <a:ext uri="{FF2B5EF4-FFF2-40B4-BE49-F238E27FC236}">
              <a16:creationId xmlns:a16="http://schemas.microsoft.com/office/drawing/2014/main" id="{0C62450B-899A-4E3D-83CE-AEE22C200F8C}"/>
            </a:ext>
          </a:extLst>
        </cdr:cNvPr>
        <cdr:cNvSpPr txBox="1">
          <a:spLocks xmlns:a="http://schemas.openxmlformats.org/drawingml/2006/main" noChangeArrowheads="1"/>
        </cdr:cNvSpPr>
      </cdr:nvSpPr>
      <cdr:spPr bwMode="auto">
        <a:xfrm xmlns:a="http://schemas.openxmlformats.org/drawingml/2006/main">
          <a:off x="6305417"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a:t>
          </a:r>
        </a:p>
      </cdr:txBody>
    </cdr:sp>
  </cdr:relSizeAnchor>
  <cdr:relSizeAnchor xmlns:cdr="http://schemas.openxmlformats.org/drawingml/2006/chartDrawing">
    <cdr:from>
      <cdr:x>0.5485</cdr:x>
      <cdr:y>0.82025</cdr:y>
    </cdr:from>
    <cdr:to>
      <cdr:x>0.56802</cdr:x>
      <cdr:y>0.84448</cdr:y>
    </cdr:to>
    <cdr:sp macro="" textlink="">
      <cdr:nvSpPr>
        <cdr:cNvPr id="4242" name="Text Box 146">
          <a:extLst xmlns:a="http://schemas.openxmlformats.org/drawingml/2006/main">
            <a:ext uri="{FF2B5EF4-FFF2-40B4-BE49-F238E27FC236}">
              <a16:creationId xmlns:a16="http://schemas.microsoft.com/office/drawing/2014/main" id="{DD8285EC-6599-493C-8E11-E69C52D27BB6}"/>
            </a:ext>
          </a:extLst>
        </cdr:cNvPr>
        <cdr:cNvSpPr txBox="1">
          <a:spLocks xmlns:a="http://schemas.openxmlformats.org/drawingml/2006/main" noChangeArrowheads="1"/>
        </cdr:cNvSpPr>
      </cdr:nvSpPr>
      <cdr:spPr bwMode="auto">
        <a:xfrm xmlns:a="http://schemas.openxmlformats.org/drawingml/2006/main">
          <a:off x="4686343"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a:t>
          </a:r>
        </a:p>
      </cdr:txBody>
    </cdr:sp>
  </cdr:relSizeAnchor>
  <cdr:relSizeAnchor xmlns:cdr="http://schemas.openxmlformats.org/drawingml/2006/chartDrawing">
    <cdr:from>
      <cdr:x>0.457</cdr:x>
      <cdr:y>0.82025</cdr:y>
    </cdr:from>
    <cdr:to>
      <cdr:x>0.47652</cdr:x>
      <cdr:y>0.84448</cdr:y>
    </cdr:to>
    <cdr:sp macro="" textlink="">
      <cdr:nvSpPr>
        <cdr:cNvPr id="4243" name="Text Box 147">
          <a:extLst xmlns:a="http://schemas.openxmlformats.org/drawingml/2006/main">
            <a:ext uri="{FF2B5EF4-FFF2-40B4-BE49-F238E27FC236}">
              <a16:creationId xmlns:a16="http://schemas.microsoft.com/office/drawing/2014/main" id="{A3F81D82-FB87-4FD7-A74E-05E68C8017C5}"/>
            </a:ext>
          </a:extLst>
        </cdr:cNvPr>
        <cdr:cNvSpPr txBox="1">
          <a:spLocks xmlns:a="http://schemas.openxmlformats.org/drawingml/2006/main" noChangeArrowheads="1"/>
        </cdr:cNvSpPr>
      </cdr:nvSpPr>
      <cdr:spPr bwMode="auto">
        <a:xfrm xmlns:a="http://schemas.openxmlformats.org/drawingml/2006/main">
          <a:off x="3904574"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a:t>
          </a:r>
        </a:p>
      </cdr:txBody>
    </cdr:sp>
  </cdr:relSizeAnchor>
  <cdr:relSizeAnchor xmlns:cdr="http://schemas.openxmlformats.org/drawingml/2006/chartDrawing">
    <cdr:from>
      <cdr:x>0.40775</cdr:x>
      <cdr:y>0.82025</cdr:y>
    </cdr:from>
    <cdr:to>
      <cdr:x>0.42727</cdr:x>
      <cdr:y>0.84448</cdr:y>
    </cdr:to>
    <cdr:sp macro="" textlink="">
      <cdr:nvSpPr>
        <cdr:cNvPr id="4244" name="Text Box 148">
          <a:extLst xmlns:a="http://schemas.openxmlformats.org/drawingml/2006/main">
            <a:ext uri="{FF2B5EF4-FFF2-40B4-BE49-F238E27FC236}">
              <a16:creationId xmlns:a16="http://schemas.microsoft.com/office/drawing/2014/main" id="{72A7DD47-908E-45C6-9667-87D5C86C680A}"/>
            </a:ext>
          </a:extLst>
        </cdr:cNvPr>
        <cdr:cNvSpPr txBox="1">
          <a:spLocks xmlns:a="http://schemas.openxmlformats.org/drawingml/2006/main" noChangeArrowheads="1"/>
        </cdr:cNvSpPr>
      </cdr:nvSpPr>
      <cdr:spPr bwMode="auto">
        <a:xfrm xmlns:a="http://schemas.openxmlformats.org/drawingml/2006/main">
          <a:off x="3483785"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a:t>
          </a:r>
        </a:p>
      </cdr:txBody>
    </cdr:sp>
  </cdr:relSizeAnchor>
  <cdr:relSizeAnchor xmlns:cdr="http://schemas.openxmlformats.org/drawingml/2006/chartDrawing">
    <cdr:from>
      <cdr:x>0.3735</cdr:x>
      <cdr:y>0.82025</cdr:y>
    </cdr:from>
    <cdr:to>
      <cdr:x>0.39302</cdr:x>
      <cdr:y>0.84448</cdr:y>
    </cdr:to>
    <cdr:sp macro="" textlink="">
      <cdr:nvSpPr>
        <cdr:cNvPr id="4245" name="Text Box 149">
          <a:extLst xmlns:a="http://schemas.openxmlformats.org/drawingml/2006/main">
            <a:ext uri="{FF2B5EF4-FFF2-40B4-BE49-F238E27FC236}">
              <a16:creationId xmlns:a16="http://schemas.microsoft.com/office/drawing/2014/main" id="{C1BF83A3-2631-430C-A95E-FB26485F6476}"/>
            </a:ext>
          </a:extLst>
        </cdr:cNvPr>
        <cdr:cNvSpPr txBox="1">
          <a:spLocks xmlns:a="http://schemas.openxmlformats.org/drawingml/2006/main" noChangeArrowheads="1"/>
        </cdr:cNvSpPr>
      </cdr:nvSpPr>
      <cdr:spPr bwMode="auto">
        <a:xfrm xmlns:a="http://schemas.openxmlformats.org/drawingml/2006/main">
          <a:off x="3191156" y="4773670"/>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5%</a:t>
          </a:r>
        </a:p>
      </cdr:txBody>
    </cdr:sp>
  </cdr:relSizeAnchor>
  <cdr:relSizeAnchor xmlns:cdr="http://schemas.openxmlformats.org/drawingml/2006/chartDrawing">
    <cdr:from>
      <cdr:x>0.29075</cdr:x>
      <cdr:y>0.82025</cdr:y>
    </cdr:from>
    <cdr:to>
      <cdr:x>0.31695</cdr:x>
      <cdr:y>0.84448</cdr:y>
    </cdr:to>
    <cdr:sp macro="" textlink="">
      <cdr:nvSpPr>
        <cdr:cNvPr id="4246" name="Text Box 150">
          <a:extLst xmlns:a="http://schemas.openxmlformats.org/drawingml/2006/main">
            <a:ext uri="{FF2B5EF4-FFF2-40B4-BE49-F238E27FC236}">
              <a16:creationId xmlns:a16="http://schemas.microsoft.com/office/drawing/2014/main" id="{CB908AB9-1C82-484E-9E9A-E31EAE92CB33}"/>
            </a:ext>
          </a:extLst>
        </cdr:cNvPr>
        <cdr:cNvSpPr txBox="1">
          <a:spLocks xmlns:a="http://schemas.openxmlformats.org/drawingml/2006/main" noChangeArrowheads="1"/>
        </cdr:cNvSpPr>
      </cdr:nvSpPr>
      <cdr:spPr bwMode="auto">
        <a:xfrm xmlns:a="http://schemas.openxmlformats.org/drawingml/2006/main">
          <a:off x="2484146"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10%</a:t>
          </a:r>
        </a:p>
      </cdr:txBody>
    </cdr:sp>
  </cdr:relSizeAnchor>
  <cdr:relSizeAnchor xmlns:cdr="http://schemas.openxmlformats.org/drawingml/2006/chartDrawing">
    <cdr:from>
      <cdr:x>0.2585</cdr:x>
      <cdr:y>0.82025</cdr:y>
    </cdr:from>
    <cdr:to>
      <cdr:x>0.2847</cdr:x>
      <cdr:y>0.84448</cdr:y>
    </cdr:to>
    <cdr:sp macro="" textlink="">
      <cdr:nvSpPr>
        <cdr:cNvPr id="4247" name="Text Box 151">
          <a:extLst xmlns:a="http://schemas.openxmlformats.org/drawingml/2006/main">
            <a:ext uri="{FF2B5EF4-FFF2-40B4-BE49-F238E27FC236}">
              <a16:creationId xmlns:a16="http://schemas.microsoft.com/office/drawing/2014/main" id="{4AE03C89-AD13-4048-9D1D-45AE7E5F1A56}"/>
            </a:ext>
          </a:extLst>
        </cdr:cNvPr>
        <cdr:cNvSpPr txBox="1">
          <a:spLocks xmlns:a="http://schemas.openxmlformats.org/drawingml/2006/main" noChangeArrowheads="1"/>
        </cdr:cNvSpPr>
      </cdr:nvSpPr>
      <cdr:spPr bwMode="auto">
        <a:xfrm xmlns:a="http://schemas.openxmlformats.org/drawingml/2006/main">
          <a:off x="2208605"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15%</a:t>
          </a:r>
        </a:p>
      </cdr:txBody>
    </cdr:sp>
  </cdr:relSizeAnchor>
  <cdr:relSizeAnchor xmlns:cdr="http://schemas.openxmlformats.org/drawingml/2006/chartDrawing">
    <cdr:from>
      <cdr:x>0.24</cdr:x>
      <cdr:y>0.82025</cdr:y>
    </cdr:from>
    <cdr:to>
      <cdr:x>0.2662</cdr:x>
      <cdr:y>0.84448</cdr:y>
    </cdr:to>
    <cdr:sp macro="" textlink="">
      <cdr:nvSpPr>
        <cdr:cNvPr id="4248" name="Text Box 152">
          <a:extLst xmlns:a="http://schemas.openxmlformats.org/drawingml/2006/main">
            <a:ext uri="{FF2B5EF4-FFF2-40B4-BE49-F238E27FC236}">
              <a16:creationId xmlns:a16="http://schemas.microsoft.com/office/drawing/2014/main" id="{35AFEDBD-D778-46B9-BA6D-6D9230423DFC}"/>
            </a:ext>
          </a:extLst>
        </cdr:cNvPr>
        <cdr:cNvSpPr txBox="1">
          <a:spLocks xmlns:a="http://schemas.openxmlformats.org/drawingml/2006/main" noChangeArrowheads="1"/>
        </cdr:cNvSpPr>
      </cdr:nvSpPr>
      <cdr:spPr bwMode="auto">
        <a:xfrm xmlns:a="http://schemas.openxmlformats.org/drawingml/2006/main">
          <a:off x="2050542"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20%</a:t>
          </a:r>
        </a:p>
      </cdr:txBody>
    </cdr:sp>
  </cdr:relSizeAnchor>
  <cdr:relSizeAnchor xmlns:cdr="http://schemas.openxmlformats.org/drawingml/2006/chartDrawing">
    <cdr:from>
      <cdr:x>0.21925</cdr:x>
      <cdr:y>0.82025</cdr:y>
    </cdr:from>
    <cdr:to>
      <cdr:x>0.24545</cdr:x>
      <cdr:y>0.84448</cdr:y>
    </cdr:to>
    <cdr:sp macro="" textlink="">
      <cdr:nvSpPr>
        <cdr:cNvPr id="4249" name="Text Box 153">
          <a:extLst xmlns:a="http://schemas.openxmlformats.org/drawingml/2006/main">
            <a:ext uri="{FF2B5EF4-FFF2-40B4-BE49-F238E27FC236}">
              <a16:creationId xmlns:a16="http://schemas.microsoft.com/office/drawing/2014/main" id="{FCA8C9FA-8D55-4197-924E-B57706021D77}"/>
            </a:ext>
          </a:extLst>
        </cdr:cNvPr>
        <cdr:cNvSpPr txBox="1">
          <a:spLocks xmlns:a="http://schemas.openxmlformats.org/drawingml/2006/main" noChangeArrowheads="1"/>
        </cdr:cNvSpPr>
      </cdr:nvSpPr>
      <cdr:spPr bwMode="auto">
        <a:xfrm xmlns:a="http://schemas.openxmlformats.org/drawingml/2006/main">
          <a:off x="1873256"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30%</a:t>
          </a:r>
        </a:p>
      </cdr:txBody>
    </cdr:sp>
  </cdr:relSizeAnchor>
  <cdr:relSizeAnchor xmlns:cdr="http://schemas.openxmlformats.org/drawingml/2006/chartDrawing">
    <cdr:from>
      <cdr:x>0.2</cdr:x>
      <cdr:y>0.82025</cdr:y>
    </cdr:from>
    <cdr:to>
      <cdr:x>0.2262</cdr:x>
      <cdr:y>0.84448</cdr:y>
    </cdr:to>
    <cdr:sp macro="" textlink="">
      <cdr:nvSpPr>
        <cdr:cNvPr id="4250" name="Text Box 154">
          <a:extLst xmlns:a="http://schemas.openxmlformats.org/drawingml/2006/main">
            <a:ext uri="{FF2B5EF4-FFF2-40B4-BE49-F238E27FC236}">
              <a16:creationId xmlns:a16="http://schemas.microsoft.com/office/drawing/2014/main" id="{2ED07489-6156-426B-B2F3-6C9BE41061B8}"/>
            </a:ext>
          </a:extLst>
        </cdr:cNvPr>
        <cdr:cNvSpPr txBox="1">
          <a:spLocks xmlns:a="http://schemas.openxmlformats.org/drawingml/2006/main" noChangeArrowheads="1"/>
        </cdr:cNvSpPr>
      </cdr:nvSpPr>
      <cdr:spPr bwMode="auto">
        <a:xfrm xmlns:a="http://schemas.openxmlformats.org/drawingml/2006/main">
          <a:off x="1708785" y="4773670"/>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40%</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8572500" cy="5827568"/>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0.54725</cdr:x>
      <cdr:y>0.847</cdr:y>
    </cdr:from>
    <cdr:to>
      <cdr:x>0.58</cdr:x>
      <cdr:y>0.875</cdr:y>
    </cdr:to>
    <cdr:sp macro="" textlink="">
      <cdr:nvSpPr>
        <cdr:cNvPr id="32170" name="Text Box 426">
          <a:extLst xmlns:a="http://schemas.openxmlformats.org/drawingml/2006/main">
            <a:ext uri="{FF2B5EF4-FFF2-40B4-BE49-F238E27FC236}">
              <a16:creationId xmlns:a16="http://schemas.microsoft.com/office/drawing/2014/main" id="{AB54E402-6348-44C4-830F-829A15237825}"/>
            </a:ext>
          </a:extLst>
        </cdr:cNvPr>
        <cdr:cNvSpPr txBox="1">
          <a:spLocks xmlns:a="http://schemas.openxmlformats.org/drawingml/2006/main" noChangeArrowheads="1"/>
        </cdr:cNvSpPr>
      </cdr:nvSpPr>
      <cdr:spPr bwMode="auto">
        <a:xfrm xmlns:a="http://schemas.openxmlformats.org/drawingml/2006/main">
          <a:off x="4675663" y="4929349"/>
          <a:ext cx="279814" cy="1629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3%</a:t>
          </a:r>
        </a:p>
      </cdr:txBody>
    </cdr:sp>
  </cdr:relSizeAnchor>
  <cdr:relSizeAnchor xmlns:cdr="http://schemas.openxmlformats.org/drawingml/2006/chartDrawing">
    <cdr:from>
      <cdr:x>0.082</cdr:x>
      <cdr:y>0.77175</cdr:y>
    </cdr:from>
    <cdr:to>
      <cdr:x>0.1635</cdr:x>
      <cdr:y>0.86675</cdr:y>
    </cdr:to>
    <cdr:sp macro="" textlink="">
      <cdr:nvSpPr>
        <cdr:cNvPr id="4239" name="Text Box 7">
          <a:extLst xmlns:a="http://schemas.openxmlformats.org/drawingml/2006/main">
            <a:ext uri="{FF2B5EF4-FFF2-40B4-BE49-F238E27FC236}">
              <a16:creationId xmlns:a16="http://schemas.microsoft.com/office/drawing/2014/main" id="{C638A6FB-A48A-49CA-A1F9-BA8FBB8EDF02}"/>
            </a:ext>
          </a:extLst>
        </cdr:cNvPr>
        <cdr:cNvSpPr txBox="1">
          <a:spLocks xmlns:a="http://schemas.openxmlformats.org/drawingml/2006/main" noChangeArrowheads="1"/>
        </cdr:cNvSpPr>
      </cdr:nvSpPr>
      <cdr:spPr bwMode="auto">
        <a:xfrm xmlns:a="http://schemas.openxmlformats.org/drawingml/2006/main">
          <a:off x="700602" y="4491411"/>
          <a:ext cx="696330" cy="5528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 Not Warranted</a:t>
          </a:r>
        </a:p>
      </cdr:txBody>
    </cdr:sp>
  </cdr:relSizeAnchor>
  <cdr:relSizeAnchor xmlns:cdr="http://schemas.openxmlformats.org/drawingml/2006/chartDrawing">
    <cdr:from>
      <cdr:x>0.36138</cdr:x>
      <cdr:y>0.48004</cdr:y>
    </cdr:from>
    <cdr:to>
      <cdr:x>0.47638</cdr:x>
      <cdr:y>0.54879</cdr:y>
    </cdr:to>
    <cdr:sp macro="" textlink="">
      <cdr:nvSpPr>
        <cdr:cNvPr id="4240" name="Text Box 8">
          <a:extLst xmlns:a="http://schemas.openxmlformats.org/drawingml/2006/main">
            <a:ext uri="{FF2B5EF4-FFF2-40B4-BE49-F238E27FC236}">
              <a16:creationId xmlns:a16="http://schemas.microsoft.com/office/drawing/2014/main" id="{2C4F7DCC-33E6-421C-B780-3F4AD27EFD9C}"/>
            </a:ext>
          </a:extLst>
        </cdr:cNvPr>
        <cdr:cNvSpPr txBox="1">
          <a:spLocks xmlns:a="http://schemas.openxmlformats.org/drawingml/2006/main" noChangeArrowheads="1"/>
        </cdr:cNvSpPr>
      </cdr:nvSpPr>
      <cdr:spPr bwMode="auto">
        <a:xfrm xmlns:a="http://schemas.openxmlformats.org/drawingml/2006/main">
          <a:off x="3097920" y="2797477"/>
          <a:ext cx="985837" cy="400646"/>
        </a:xfrm>
        <a:prstGeom xmlns:a="http://schemas.openxmlformats.org/drawingml/2006/main" prst="rect">
          <a:avLst/>
        </a:prstGeom>
        <a:noFill xmlns:a="http://schemas.openxmlformats.org/drawingml/2006/main"/>
        <a:ln xmlns:a="http://schemas.openxmlformats.org/drawingml/2006/main" w="9525" algn="ctr">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dr:relSizeAnchor xmlns:cdr="http://schemas.openxmlformats.org/drawingml/2006/chartDrawing">
    <cdr:from>
      <cdr:x>0.8795</cdr:x>
      <cdr:y>0.847</cdr:y>
    </cdr:from>
    <cdr:to>
      <cdr:x>0.9115</cdr:x>
      <cdr:y>0.8755</cdr:y>
    </cdr:to>
    <cdr:sp macro="" textlink="">
      <cdr:nvSpPr>
        <cdr:cNvPr id="32167" name="Text Box 423">
          <a:extLst xmlns:a="http://schemas.openxmlformats.org/drawingml/2006/main">
            <a:ext uri="{FF2B5EF4-FFF2-40B4-BE49-F238E27FC236}">
              <a16:creationId xmlns:a16="http://schemas.microsoft.com/office/drawing/2014/main" id="{42D1C300-1B32-4DAC-B948-28290402E04D}"/>
            </a:ext>
          </a:extLst>
        </cdr:cNvPr>
        <cdr:cNvSpPr txBox="1">
          <a:spLocks xmlns:a="http://schemas.openxmlformats.org/drawingml/2006/main" noChangeArrowheads="1"/>
        </cdr:cNvSpPr>
      </cdr:nvSpPr>
      <cdr:spPr bwMode="auto">
        <a:xfrm xmlns:a="http://schemas.openxmlformats.org/drawingml/2006/main">
          <a:off x="7514382" y="4929349"/>
          <a:ext cx="273406" cy="16586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a:t>
          </a:r>
        </a:p>
      </cdr:txBody>
    </cdr:sp>
  </cdr:relSizeAnchor>
  <cdr:relSizeAnchor xmlns:cdr="http://schemas.openxmlformats.org/drawingml/2006/chartDrawing">
    <cdr:from>
      <cdr:x>0</cdr:x>
      <cdr:y>0</cdr:y>
    </cdr:from>
    <cdr:to>
      <cdr:x>0.0815</cdr:x>
      <cdr:y>0.08175</cdr:y>
    </cdr:to>
    <cdr:sp macro="" textlink="">
      <cdr:nvSpPr>
        <cdr:cNvPr id="32168" name="Text Box 424">
          <a:extLst xmlns:a="http://schemas.openxmlformats.org/drawingml/2006/main">
            <a:ext uri="{FF2B5EF4-FFF2-40B4-BE49-F238E27FC236}">
              <a16:creationId xmlns:a16="http://schemas.microsoft.com/office/drawing/2014/main" id="{40595654-2824-49F8-B043-89EECC8A6847}"/>
            </a:ext>
          </a:extLst>
        </cdr:cNvPr>
        <cdr:cNvSpPr txBox="1">
          <a:spLocks xmlns:a="http://schemas.openxmlformats.org/drawingml/2006/main" noChangeArrowheads="1"/>
        </cdr:cNvSpPr>
      </cdr:nvSpPr>
      <cdr:spPr bwMode="auto">
        <a:xfrm xmlns:a="http://schemas.openxmlformats.org/drawingml/2006/main">
          <a:off x="0" y="0"/>
          <a:ext cx="696330" cy="475767"/>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0.652</cdr:x>
      <cdr:y>0.847</cdr:y>
    </cdr:from>
    <cdr:to>
      <cdr:x>0.684</cdr:x>
      <cdr:y>0.875</cdr:y>
    </cdr:to>
    <cdr:sp macro="" textlink="">
      <cdr:nvSpPr>
        <cdr:cNvPr id="32169" name="Text Box 425">
          <a:extLst xmlns:a="http://schemas.openxmlformats.org/drawingml/2006/main">
            <a:ext uri="{FF2B5EF4-FFF2-40B4-BE49-F238E27FC236}">
              <a16:creationId xmlns:a16="http://schemas.microsoft.com/office/drawing/2014/main" id="{E3E58181-5824-4CBA-B439-5308730E53D2}"/>
            </a:ext>
          </a:extLst>
        </cdr:cNvPr>
        <cdr:cNvSpPr txBox="1">
          <a:spLocks xmlns:a="http://schemas.openxmlformats.org/drawingml/2006/main" noChangeArrowheads="1"/>
        </cdr:cNvSpPr>
      </cdr:nvSpPr>
      <cdr:spPr bwMode="auto">
        <a:xfrm xmlns:a="http://schemas.openxmlformats.org/drawingml/2006/main">
          <a:off x="5570639" y="4929349"/>
          <a:ext cx="273406" cy="1629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2%</a:t>
          </a:r>
        </a:p>
      </cdr:txBody>
    </cdr:sp>
  </cdr:relSizeAnchor>
  <cdr:relSizeAnchor xmlns:cdr="http://schemas.openxmlformats.org/drawingml/2006/chartDrawing">
    <cdr:from>
      <cdr:x>0.4495</cdr:x>
      <cdr:y>0.8485</cdr:y>
    </cdr:from>
    <cdr:to>
      <cdr:x>0.48325</cdr:x>
      <cdr:y>0.87625</cdr:y>
    </cdr:to>
    <cdr:sp macro="" textlink="">
      <cdr:nvSpPr>
        <cdr:cNvPr id="32172" name="Text Box 428">
          <a:extLst xmlns:a="http://schemas.openxmlformats.org/drawingml/2006/main">
            <a:ext uri="{FF2B5EF4-FFF2-40B4-BE49-F238E27FC236}">
              <a16:creationId xmlns:a16="http://schemas.microsoft.com/office/drawing/2014/main" id="{C56C2F99-5498-476D-8308-878D65DCB1A0}"/>
            </a:ext>
          </a:extLst>
        </cdr:cNvPr>
        <cdr:cNvSpPr txBox="1">
          <a:spLocks xmlns:a="http://schemas.openxmlformats.org/drawingml/2006/main" noChangeArrowheads="1"/>
        </cdr:cNvSpPr>
      </cdr:nvSpPr>
      <cdr:spPr bwMode="auto">
        <a:xfrm xmlns:a="http://schemas.openxmlformats.org/drawingml/2006/main">
          <a:off x="3840494" y="4938079"/>
          <a:ext cx="288358" cy="161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5%</a:t>
          </a:r>
        </a:p>
      </cdr:txBody>
    </cdr:sp>
  </cdr:relSizeAnchor>
  <cdr:relSizeAnchor xmlns:cdr="http://schemas.openxmlformats.org/drawingml/2006/chartDrawing">
    <cdr:from>
      <cdr:x>0.301</cdr:x>
      <cdr:y>0.85925</cdr:y>
    </cdr:from>
    <cdr:to>
      <cdr:x>0.3445</cdr:x>
      <cdr:y>0.88625</cdr:y>
    </cdr:to>
    <cdr:sp macro="" textlink="">
      <cdr:nvSpPr>
        <cdr:cNvPr id="32174" name="Text Box 430">
          <a:extLst xmlns:a="http://schemas.openxmlformats.org/drawingml/2006/main">
            <a:ext uri="{FF2B5EF4-FFF2-40B4-BE49-F238E27FC236}">
              <a16:creationId xmlns:a16="http://schemas.microsoft.com/office/drawing/2014/main" id="{DD1BE2FD-9262-4F48-8FCF-0241742FD909}"/>
            </a:ext>
          </a:extLst>
        </cdr:cNvPr>
        <cdr:cNvSpPr txBox="1">
          <a:spLocks xmlns:a="http://schemas.openxmlformats.org/drawingml/2006/main" noChangeArrowheads="1"/>
        </cdr:cNvSpPr>
      </cdr:nvSpPr>
      <cdr:spPr bwMode="auto">
        <a:xfrm xmlns:a="http://schemas.openxmlformats.org/drawingml/2006/main">
          <a:off x="2571721" y="5000642"/>
          <a:ext cx="371661" cy="1571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15%</a:t>
          </a:r>
        </a:p>
      </cdr:txBody>
    </cdr:sp>
  </cdr:relSizeAnchor>
  <cdr:relSizeAnchor xmlns:cdr="http://schemas.openxmlformats.org/drawingml/2006/chartDrawing">
    <cdr:from>
      <cdr:x>0.35175</cdr:x>
      <cdr:y>0.847</cdr:y>
    </cdr:from>
    <cdr:to>
      <cdr:x>0.39425</cdr:x>
      <cdr:y>0.87275</cdr:y>
    </cdr:to>
    <cdr:sp macro="" textlink="">
      <cdr:nvSpPr>
        <cdr:cNvPr id="32175" name="Text Box 431">
          <a:extLst xmlns:a="http://schemas.openxmlformats.org/drawingml/2006/main">
            <a:ext uri="{FF2B5EF4-FFF2-40B4-BE49-F238E27FC236}">
              <a16:creationId xmlns:a16="http://schemas.microsoft.com/office/drawing/2014/main" id="{99D5710E-1107-4524-97BB-E2BF37A6E12A}"/>
            </a:ext>
          </a:extLst>
        </cdr:cNvPr>
        <cdr:cNvSpPr txBox="1">
          <a:spLocks xmlns:a="http://schemas.openxmlformats.org/drawingml/2006/main" noChangeArrowheads="1"/>
        </cdr:cNvSpPr>
      </cdr:nvSpPr>
      <cdr:spPr bwMode="auto">
        <a:xfrm xmlns:a="http://schemas.openxmlformats.org/drawingml/2006/main">
          <a:off x="3005326" y="4929349"/>
          <a:ext cx="363116" cy="1498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10%</a:t>
          </a:r>
        </a:p>
      </cdr:txBody>
    </cdr:sp>
  </cdr:relSizeAnchor>
  <cdr:relSizeAnchor xmlns:cdr="http://schemas.openxmlformats.org/drawingml/2006/chartDrawing">
    <cdr:from>
      <cdr:x>0.25447</cdr:x>
      <cdr:y>0.86132</cdr:y>
    </cdr:from>
    <cdr:to>
      <cdr:x>0.29797</cdr:x>
      <cdr:y>0.88707</cdr:y>
    </cdr:to>
    <cdr:sp macro="" textlink="">
      <cdr:nvSpPr>
        <cdr:cNvPr id="32176" name="Text Box 432">
          <a:extLst xmlns:a="http://schemas.openxmlformats.org/drawingml/2006/main">
            <a:ext uri="{FF2B5EF4-FFF2-40B4-BE49-F238E27FC236}">
              <a16:creationId xmlns:a16="http://schemas.microsoft.com/office/drawing/2014/main" id="{C09864C8-F6E9-4E8B-AADB-E8750B7C4DE0}"/>
            </a:ext>
          </a:extLst>
        </cdr:cNvPr>
        <cdr:cNvSpPr txBox="1">
          <a:spLocks xmlns:a="http://schemas.openxmlformats.org/drawingml/2006/main" noChangeArrowheads="1"/>
        </cdr:cNvSpPr>
      </cdr:nvSpPr>
      <cdr:spPr bwMode="auto">
        <a:xfrm xmlns:a="http://schemas.openxmlformats.org/drawingml/2006/main">
          <a:off x="2181464" y="5019384"/>
          <a:ext cx="372904" cy="150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20%</a:t>
          </a:r>
        </a:p>
      </cdr:txBody>
    </cdr:sp>
  </cdr:relSizeAnchor>
  <cdr:relSizeAnchor xmlns:cdr="http://schemas.openxmlformats.org/drawingml/2006/chartDrawing">
    <cdr:from>
      <cdr:x>0.20917</cdr:x>
      <cdr:y>0.85711</cdr:y>
    </cdr:from>
    <cdr:to>
      <cdr:x>0.25267</cdr:x>
      <cdr:y>0.88361</cdr:y>
    </cdr:to>
    <cdr:sp macro="" textlink="">
      <cdr:nvSpPr>
        <cdr:cNvPr id="32177" name="Text Box 433">
          <a:extLst xmlns:a="http://schemas.openxmlformats.org/drawingml/2006/main">
            <a:ext uri="{FF2B5EF4-FFF2-40B4-BE49-F238E27FC236}">
              <a16:creationId xmlns:a16="http://schemas.microsoft.com/office/drawing/2014/main" id="{E7A05BD4-95F0-44EB-B65E-DEBFB844330C}"/>
            </a:ext>
          </a:extLst>
        </cdr:cNvPr>
        <cdr:cNvSpPr txBox="1">
          <a:spLocks xmlns:a="http://schemas.openxmlformats.org/drawingml/2006/main" noChangeArrowheads="1"/>
        </cdr:cNvSpPr>
      </cdr:nvSpPr>
      <cdr:spPr bwMode="auto">
        <a:xfrm xmlns:a="http://schemas.openxmlformats.org/drawingml/2006/main">
          <a:off x="1793082" y="4994869"/>
          <a:ext cx="372903" cy="1544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50%</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8572500" cy="5827568"/>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0.082</cdr:x>
      <cdr:y>0.77175</cdr:y>
    </cdr:from>
    <cdr:to>
      <cdr:x>0.1635</cdr:x>
      <cdr:y>0.86675</cdr:y>
    </cdr:to>
    <cdr:sp macro="" textlink="">
      <cdr:nvSpPr>
        <cdr:cNvPr id="4239" name="Text Box 7">
          <a:extLst xmlns:a="http://schemas.openxmlformats.org/drawingml/2006/main">
            <a:ext uri="{FF2B5EF4-FFF2-40B4-BE49-F238E27FC236}">
              <a16:creationId xmlns:a16="http://schemas.microsoft.com/office/drawing/2014/main" id="{FF206AF5-DC89-4FC7-879A-42AE5DB9340E}"/>
            </a:ext>
          </a:extLst>
        </cdr:cNvPr>
        <cdr:cNvSpPr txBox="1">
          <a:spLocks xmlns:a="http://schemas.openxmlformats.org/drawingml/2006/main" noChangeArrowheads="1"/>
        </cdr:cNvSpPr>
      </cdr:nvSpPr>
      <cdr:spPr bwMode="auto">
        <a:xfrm xmlns:a="http://schemas.openxmlformats.org/drawingml/2006/main">
          <a:off x="700602" y="4491411"/>
          <a:ext cx="696330" cy="5528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 Not Warranted</a:t>
          </a:r>
        </a:p>
      </cdr:txBody>
    </cdr:sp>
  </cdr:relSizeAnchor>
  <cdr:relSizeAnchor xmlns:cdr="http://schemas.openxmlformats.org/drawingml/2006/chartDrawing">
    <cdr:from>
      <cdr:x>0.36138</cdr:x>
      <cdr:y>0.48004</cdr:y>
    </cdr:from>
    <cdr:to>
      <cdr:x>0.47638</cdr:x>
      <cdr:y>0.54879</cdr:y>
    </cdr:to>
    <cdr:sp macro="" textlink="">
      <cdr:nvSpPr>
        <cdr:cNvPr id="4240" name="Text Box 8">
          <a:extLst xmlns:a="http://schemas.openxmlformats.org/drawingml/2006/main">
            <a:ext uri="{FF2B5EF4-FFF2-40B4-BE49-F238E27FC236}">
              <a16:creationId xmlns:a16="http://schemas.microsoft.com/office/drawing/2014/main" id="{294CF419-4B36-41D4-B1DC-6E6D279D4C1F}"/>
            </a:ext>
          </a:extLst>
        </cdr:cNvPr>
        <cdr:cNvSpPr txBox="1">
          <a:spLocks xmlns:a="http://schemas.openxmlformats.org/drawingml/2006/main" noChangeArrowheads="1"/>
        </cdr:cNvSpPr>
      </cdr:nvSpPr>
      <cdr:spPr bwMode="auto">
        <a:xfrm xmlns:a="http://schemas.openxmlformats.org/drawingml/2006/main">
          <a:off x="3097920" y="2797477"/>
          <a:ext cx="985837" cy="400646"/>
        </a:xfrm>
        <a:prstGeom xmlns:a="http://schemas.openxmlformats.org/drawingml/2006/main" prst="rect">
          <a:avLst/>
        </a:prstGeom>
        <a:noFill xmlns:a="http://schemas.openxmlformats.org/drawingml/2006/main"/>
        <a:ln xmlns:a="http://schemas.openxmlformats.org/drawingml/2006/main" w="9525" algn="ctr">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dr:relSizeAnchor xmlns:cdr="http://schemas.openxmlformats.org/drawingml/2006/chartDrawing">
    <cdr:from>
      <cdr:x>0.8795</cdr:x>
      <cdr:y>0.847</cdr:y>
    </cdr:from>
    <cdr:to>
      <cdr:x>0.9115</cdr:x>
      <cdr:y>0.8755</cdr:y>
    </cdr:to>
    <cdr:sp macro="" textlink="">
      <cdr:nvSpPr>
        <cdr:cNvPr id="32167" name="Text Box 423">
          <a:extLst xmlns:a="http://schemas.openxmlformats.org/drawingml/2006/main">
            <a:ext uri="{FF2B5EF4-FFF2-40B4-BE49-F238E27FC236}">
              <a16:creationId xmlns:a16="http://schemas.microsoft.com/office/drawing/2014/main" id="{D2827CF5-730F-4E9A-B25D-CEA22065C32E}"/>
            </a:ext>
          </a:extLst>
        </cdr:cNvPr>
        <cdr:cNvSpPr txBox="1">
          <a:spLocks xmlns:a="http://schemas.openxmlformats.org/drawingml/2006/main" noChangeArrowheads="1"/>
        </cdr:cNvSpPr>
      </cdr:nvSpPr>
      <cdr:spPr bwMode="auto">
        <a:xfrm xmlns:a="http://schemas.openxmlformats.org/drawingml/2006/main">
          <a:off x="7514382" y="4929349"/>
          <a:ext cx="273406" cy="16586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a:t>
          </a:r>
        </a:p>
      </cdr:txBody>
    </cdr:sp>
  </cdr:relSizeAnchor>
  <cdr:relSizeAnchor xmlns:cdr="http://schemas.openxmlformats.org/drawingml/2006/chartDrawing">
    <cdr:from>
      <cdr:x>0</cdr:x>
      <cdr:y>0</cdr:y>
    </cdr:from>
    <cdr:to>
      <cdr:x>0.0815</cdr:x>
      <cdr:y>0.08175</cdr:y>
    </cdr:to>
    <cdr:sp macro="" textlink="">
      <cdr:nvSpPr>
        <cdr:cNvPr id="32168" name="Text Box 424">
          <a:extLst xmlns:a="http://schemas.openxmlformats.org/drawingml/2006/main">
            <a:ext uri="{FF2B5EF4-FFF2-40B4-BE49-F238E27FC236}">
              <a16:creationId xmlns:a16="http://schemas.microsoft.com/office/drawing/2014/main" id="{590860EE-F96E-439C-8FD8-765767FB7F51}"/>
            </a:ext>
          </a:extLst>
        </cdr:cNvPr>
        <cdr:cNvSpPr txBox="1">
          <a:spLocks xmlns:a="http://schemas.openxmlformats.org/drawingml/2006/main" noChangeArrowheads="1"/>
        </cdr:cNvSpPr>
      </cdr:nvSpPr>
      <cdr:spPr bwMode="auto">
        <a:xfrm xmlns:a="http://schemas.openxmlformats.org/drawingml/2006/main">
          <a:off x="0" y="0"/>
          <a:ext cx="696330" cy="475767"/>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0.652</cdr:x>
      <cdr:y>0.847</cdr:y>
    </cdr:from>
    <cdr:to>
      <cdr:x>0.684</cdr:x>
      <cdr:y>0.875</cdr:y>
    </cdr:to>
    <cdr:sp macro="" textlink="">
      <cdr:nvSpPr>
        <cdr:cNvPr id="32169" name="Text Box 425">
          <a:extLst xmlns:a="http://schemas.openxmlformats.org/drawingml/2006/main">
            <a:ext uri="{FF2B5EF4-FFF2-40B4-BE49-F238E27FC236}">
              <a16:creationId xmlns:a16="http://schemas.microsoft.com/office/drawing/2014/main" id="{CEF97071-81B5-4251-BE76-A51D5155EB4A}"/>
            </a:ext>
          </a:extLst>
        </cdr:cNvPr>
        <cdr:cNvSpPr txBox="1">
          <a:spLocks xmlns:a="http://schemas.openxmlformats.org/drawingml/2006/main" noChangeArrowheads="1"/>
        </cdr:cNvSpPr>
      </cdr:nvSpPr>
      <cdr:spPr bwMode="auto">
        <a:xfrm xmlns:a="http://schemas.openxmlformats.org/drawingml/2006/main">
          <a:off x="5570639" y="4929349"/>
          <a:ext cx="273406" cy="1629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2%</a:t>
          </a:r>
        </a:p>
      </cdr:txBody>
    </cdr:sp>
  </cdr:relSizeAnchor>
  <cdr:relSizeAnchor xmlns:cdr="http://schemas.openxmlformats.org/drawingml/2006/chartDrawing">
    <cdr:from>
      <cdr:x>0.54725</cdr:x>
      <cdr:y>0.847</cdr:y>
    </cdr:from>
    <cdr:to>
      <cdr:x>0.58</cdr:x>
      <cdr:y>0.875</cdr:y>
    </cdr:to>
    <cdr:sp macro="" textlink="">
      <cdr:nvSpPr>
        <cdr:cNvPr id="32170" name="Text Box 426">
          <a:extLst xmlns:a="http://schemas.openxmlformats.org/drawingml/2006/main">
            <a:ext uri="{FF2B5EF4-FFF2-40B4-BE49-F238E27FC236}">
              <a16:creationId xmlns:a16="http://schemas.microsoft.com/office/drawing/2014/main" id="{95F7EAA3-E95C-4EA6-A08B-21C5F9F712C9}"/>
            </a:ext>
          </a:extLst>
        </cdr:cNvPr>
        <cdr:cNvSpPr txBox="1">
          <a:spLocks xmlns:a="http://schemas.openxmlformats.org/drawingml/2006/main" noChangeArrowheads="1"/>
        </cdr:cNvSpPr>
      </cdr:nvSpPr>
      <cdr:spPr bwMode="auto">
        <a:xfrm xmlns:a="http://schemas.openxmlformats.org/drawingml/2006/main">
          <a:off x="4675663" y="4929349"/>
          <a:ext cx="279814" cy="1629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3%</a:t>
          </a:r>
        </a:p>
      </cdr:txBody>
    </cdr:sp>
  </cdr:relSizeAnchor>
  <cdr:relSizeAnchor xmlns:cdr="http://schemas.openxmlformats.org/drawingml/2006/chartDrawing">
    <cdr:from>
      <cdr:x>0.4495</cdr:x>
      <cdr:y>0.8485</cdr:y>
    </cdr:from>
    <cdr:to>
      <cdr:x>0.48325</cdr:x>
      <cdr:y>0.87625</cdr:y>
    </cdr:to>
    <cdr:sp macro="" textlink="">
      <cdr:nvSpPr>
        <cdr:cNvPr id="32172" name="Text Box 428">
          <a:extLst xmlns:a="http://schemas.openxmlformats.org/drawingml/2006/main">
            <a:ext uri="{FF2B5EF4-FFF2-40B4-BE49-F238E27FC236}">
              <a16:creationId xmlns:a16="http://schemas.microsoft.com/office/drawing/2014/main" id="{AC995877-F8F3-4DEA-B4E4-11F23A43CB7A}"/>
            </a:ext>
          </a:extLst>
        </cdr:cNvPr>
        <cdr:cNvSpPr txBox="1">
          <a:spLocks xmlns:a="http://schemas.openxmlformats.org/drawingml/2006/main" noChangeArrowheads="1"/>
        </cdr:cNvSpPr>
      </cdr:nvSpPr>
      <cdr:spPr bwMode="auto">
        <a:xfrm xmlns:a="http://schemas.openxmlformats.org/drawingml/2006/main">
          <a:off x="3840494" y="4938079"/>
          <a:ext cx="288358" cy="16149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5%</a:t>
          </a:r>
        </a:p>
      </cdr:txBody>
    </cdr:sp>
  </cdr:relSizeAnchor>
  <cdr:relSizeAnchor xmlns:cdr="http://schemas.openxmlformats.org/drawingml/2006/chartDrawing">
    <cdr:from>
      <cdr:x>0.301</cdr:x>
      <cdr:y>0.85925</cdr:y>
    </cdr:from>
    <cdr:to>
      <cdr:x>0.3445</cdr:x>
      <cdr:y>0.88625</cdr:y>
    </cdr:to>
    <cdr:sp macro="" textlink="">
      <cdr:nvSpPr>
        <cdr:cNvPr id="32174" name="Text Box 430">
          <a:extLst xmlns:a="http://schemas.openxmlformats.org/drawingml/2006/main">
            <a:ext uri="{FF2B5EF4-FFF2-40B4-BE49-F238E27FC236}">
              <a16:creationId xmlns:a16="http://schemas.microsoft.com/office/drawing/2014/main" id="{55037E9A-F235-49E4-8BB0-7EC08C23C69F}"/>
            </a:ext>
          </a:extLst>
        </cdr:cNvPr>
        <cdr:cNvSpPr txBox="1">
          <a:spLocks xmlns:a="http://schemas.openxmlformats.org/drawingml/2006/main" noChangeArrowheads="1"/>
        </cdr:cNvSpPr>
      </cdr:nvSpPr>
      <cdr:spPr bwMode="auto">
        <a:xfrm xmlns:a="http://schemas.openxmlformats.org/drawingml/2006/main">
          <a:off x="2571721" y="5000642"/>
          <a:ext cx="371661" cy="1571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15%</a:t>
          </a:r>
        </a:p>
      </cdr:txBody>
    </cdr:sp>
  </cdr:relSizeAnchor>
  <cdr:relSizeAnchor xmlns:cdr="http://schemas.openxmlformats.org/drawingml/2006/chartDrawing">
    <cdr:from>
      <cdr:x>0.35175</cdr:x>
      <cdr:y>0.847</cdr:y>
    </cdr:from>
    <cdr:to>
      <cdr:x>0.39425</cdr:x>
      <cdr:y>0.87275</cdr:y>
    </cdr:to>
    <cdr:sp macro="" textlink="">
      <cdr:nvSpPr>
        <cdr:cNvPr id="32175" name="Text Box 431">
          <a:extLst xmlns:a="http://schemas.openxmlformats.org/drawingml/2006/main">
            <a:ext uri="{FF2B5EF4-FFF2-40B4-BE49-F238E27FC236}">
              <a16:creationId xmlns:a16="http://schemas.microsoft.com/office/drawing/2014/main" id="{8D22B1B2-39B7-48E5-8684-58E03A5CC237}"/>
            </a:ext>
          </a:extLst>
        </cdr:cNvPr>
        <cdr:cNvSpPr txBox="1">
          <a:spLocks xmlns:a="http://schemas.openxmlformats.org/drawingml/2006/main" noChangeArrowheads="1"/>
        </cdr:cNvSpPr>
      </cdr:nvSpPr>
      <cdr:spPr bwMode="auto">
        <a:xfrm xmlns:a="http://schemas.openxmlformats.org/drawingml/2006/main">
          <a:off x="3005326" y="4929349"/>
          <a:ext cx="363116" cy="1498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10%</a:t>
          </a:r>
        </a:p>
      </cdr:txBody>
    </cdr:sp>
  </cdr:relSizeAnchor>
  <cdr:relSizeAnchor xmlns:cdr="http://schemas.openxmlformats.org/drawingml/2006/chartDrawing">
    <cdr:from>
      <cdr:x>0.25447</cdr:x>
      <cdr:y>0.86132</cdr:y>
    </cdr:from>
    <cdr:to>
      <cdr:x>0.29797</cdr:x>
      <cdr:y>0.88707</cdr:y>
    </cdr:to>
    <cdr:sp macro="" textlink="">
      <cdr:nvSpPr>
        <cdr:cNvPr id="32176" name="Text Box 432">
          <a:extLst xmlns:a="http://schemas.openxmlformats.org/drawingml/2006/main">
            <a:ext uri="{FF2B5EF4-FFF2-40B4-BE49-F238E27FC236}">
              <a16:creationId xmlns:a16="http://schemas.microsoft.com/office/drawing/2014/main" id="{8509DDEA-44C1-4DCF-B258-FA7E44DAA1C2}"/>
            </a:ext>
          </a:extLst>
        </cdr:cNvPr>
        <cdr:cNvSpPr txBox="1">
          <a:spLocks xmlns:a="http://schemas.openxmlformats.org/drawingml/2006/main" noChangeArrowheads="1"/>
        </cdr:cNvSpPr>
      </cdr:nvSpPr>
      <cdr:spPr bwMode="auto">
        <a:xfrm xmlns:a="http://schemas.openxmlformats.org/drawingml/2006/main">
          <a:off x="2181464" y="5019384"/>
          <a:ext cx="372904" cy="15006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20%</a:t>
          </a:r>
        </a:p>
      </cdr:txBody>
    </cdr:sp>
  </cdr:relSizeAnchor>
  <cdr:relSizeAnchor xmlns:cdr="http://schemas.openxmlformats.org/drawingml/2006/chartDrawing">
    <cdr:from>
      <cdr:x>0.20917</cdr:x>
      <cdr:y>0.85711</cdr:y>
    </cdr:from>
    <cdr:to>
      <cdr:x>0.25267</cdr:x>
      <cdr:y>0.88361</cdr:y>
    </cdr:to>
    <cdr:sp macro="" textlink="">
      <cdr:nvSpPr>
        <cdr:cNvPr id="32177" name="Text Box 433">
          <a:extLst xmlns:a="http://schemas.openxmlformats.org/drawingml/2006/main">
            <a:ext uri="{FF2B5EF4-FFF2-40B4-BE49-F238E27FC236}">
              <a16:creationId xmlns:a16="http://schemas.microsoft.com/office/drawing/2014/main" id="{75EB07C6-E4A7-4328-85E7-9D2B79AAC341}"/>
            </a:ext>
          </a:extLst>
        </cdr:cNvPr>
        <cdr:cNvSpPr txBox="1">
          <a:spLocks xmlns:a="http://schemas.openxmlformats.org/drawingml/2006/main" noChangeArrowheads="1"/>
        </cdr:cNvSpPr>
      </cdr:nvSpPr>
      <cdr:spPr bwMode="auto">
        <a:xfrm xmlns:a="http://schemas.openxmlformats.org/drawingml/2006/main">
          <a:off x="1793082" y="4994869"/>
          <a:ext cx="372903" cy="15443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50%</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8546523" cy="581025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0.1135</cdr:x>
      <cdr:y>0.69675</cdr:y>
    </cdr:from>
    <cdr:to>
      <cdr:x>0.21625</cdr:x>
      <cdr:y>0.80825</cdr:y>
    </cdr:to>
    <cdr:sp macro="" textlink="">
      <cdr:nvSpPr>
        <cdr:cNvPr id="138241" name="Text Box 7">
          <a:extLst xmlns:a="http://schemas.openxmlformats.org/drawingml/2006/main">
            <a:ext uri="{FF2B5EF4-FFF2-40B4-BE49-F238E27FC236}">
              <a16:creationId xmlns:a16="http://schemas.microsoft.com/office/drawing/2014/main" id="{71C32265-F544-4E92-92CB-2FF0083C6998}"/>
            </a:ext>
          </a:extLst>
        </cdr:cNvPr>
        <cdr:cNvSpPr txBox="1">
          <a:spLocks xmlns:a="http://schemas.openxmlformats.org/drawingml/2006/main" noChangeArrowheads="1"/>
        </cdr:cNvSpPr>
      </cdr:nvSpPr>
      <cdr:spPr bwMode="auto">
        <a:xfrm xmlns:a="http://schemas.openxmlformats.org/drawingml/2006/main">
          <a:off x="973880" y="4064883"/>
          <a:ext cx="881640" cy="6504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Right Turn Lane Not Warranted</a:t>
          </a:r>
        </a:p>
      </cdr:txBody>
    </cdr:sp>
  </cdr:relSizeAnchor>
  <cdr:relSizeAnchor xmlns:cdr="http://schemas.openxmlformats.org/drawingml/2006/chartDrawing">
    <cdr:from>
      <cdr:x>0.392</cdr:x>
      <cdr:y>0.388</cdr:y>
    </cdr:from>
    <cdr:to>
      <cdr:x>0.54075</cdr:x>
      <cdr:y>0.45475</cdr:y>
    </cdr:to>
    <cdr:sp macro="" textlink="">
      <cdr:nvSpPr>
        <cdr:cNvPr id="138242" name="Text Box 8">
          <a:extLst xmlns:a="http://schemas.openxmlformats.org/drawingml/2006/main">
            <a:ext uri="{FF2B5EF4-FFF2-40B4-BE49-F238E27FC236}">
              <a16:creationId xmlns:a16="http://schemas.microsoft.com/office/drawing/2014/main" id="{F531DAEC-985E-4EA9-BBC5-9798FEFFDC00}"/>
            </a:ext>
          </a:extLst>
        </cdr:cNvPr>
        <cdr:cNvSpPr txBox="1">
          <a:spLocks xmlns:a="http://schemas.openxmlformats.org/drawingml/2006/main" noChangeArrowheads="1"/>
        </cdr:cNvSpPr>
      </cdr:nvSpPr>
      <cdr:spPr bwMode="auto">
        <a:xfrm xmlns:a="http://schemas.openxmlformats.org/drawingml/2006/main">
          <a:off x="3349219" y="2258073"/>
          <a:ext cx="1270908" cy="388470"/>
        </a:xfrm>
        <a:prstGeom xmlns:a="http://schemas.openxmlformats.org/drawingml/2006/main" prst="rect">
          <a:avLst/>
        </a:prstGeom>
        <a:noFill xmlns:a="http://schemas.openxmlformats.org/drawingml/2006/main"/>
        <a:ln xmlns:a="http://schemas.openxmlformats.org/drawingml/2006/main" w="9525" algn="ctr">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Right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8546523" cy="581025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546523" cy="581025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0.09007</cdr:x>
      <cdr:y>0.70772</cdr:y>
    </cdr:from>
    <cdr:to>
      <cdr:x>0.20007</cdr:x>
      <cdr:y>0.79372</cdr:y>
    </cdr:to>
    <cdr:sp macro="" textlink="">
      <cdr:nvSpPr>
        <cdr:cNvPr id="139265" name="Text Box 7">
          <a:extLst xmlns:a="http://schemas.openxmlformats.org/drawingml/2006/main">
            <a:ext uri="{FF2B5EF4-FFF2-40B4-BE49-F238E27FC236}">
              <a16:creationId xmlns:a16="http://schemas.microsoft.com/office/drawing/2014/main" id="{F647DFD5-A90F-406F-98B1-90A3997C0418}"/>
            </a:ext>
          </a:extLst>
        </cdr:cNvPr>
        <cdr:cNvSpPr txBox="1">
          <a:spLocks xmlns:a="http://schemas.openxmlformats.org/drawingml/2006/main" noChangeArrowheads="1"/>
        </cdr:cNvSpPr>
      </cdr:nvSpPr>
      <cdr:spPr bwMode="auto">
        <a:xfrm xmlns:a="http://schemas.openxmlformats.org/drawingml/2006/main">
          <a:off x="772852" y="4128882"/>
          <a:ext cx="943848" cy="5017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Right Turn Lane Not Warranted</a:t>
          </a:r>
        </a:p>
      </cdr:txBody>
    </cdr:sp>
  </cdr:relSizeAnchor>
  <cdr:relSizeAnchor xmlns:cdr="http://schemas.openxmlformats.org/drawingml/2006/chartDrawing">
    <cdr:from>
      <cdr:x>0.38475</cdr:x>
      <cdr:y>0.4435</cdr:y>
    </cdr:from>
    <cdr:to>
      <cdr:x>0.537</cdr:x>
      <cdr:y>0.5105</cdr:y>
    </cdr:to>
    <cdr:sp macro="" textlink="">
      <cdr:nvSpPr>
        <cdr:cNvPr id="139266" name="Text Box 8">
          <a:extLst xmlns:a="http://schemas.openxmlformats.org/drawingml/2006/main">
            <a:ext uri="{FF2B5EF4-FFF2-40B4-BE49-F238E27FC236}">
              <a16:creationId xmlns:a16="http://schemas.microsoft.com/office/drawing/2014/main" id="{464A6238-C2C9-4CA7-848E-044129FE3FBD}"/>
            </a:ext>
          </a:extLst>
        </cdr:cNvPr>
        <cdr:cNvSpPr txBox="1">
          <a:spLocks xmlns:a="http://schemas.openxmlformats.org/drawingml/2006/main" noChangeArrowheads="1"/>
        </cdr:cNvSpPr>
      </cdr:nvSpPr>
      <cdr:spPr bwMode="auto">
        <a:xfrm xmlns:a="http://schemas.openxmlformats.org/drawingml/2006/main">
          <a:off x="3287275" y="2581070"/>
          <a:ext cx="1300813" cy="389925"/>
        </a:xfrm>
        <a:prstGeom xmlns:a="http://schemas.openxmlformats.org/drawingml/2006/main" prst="rect">
          <a:avLst/>
        </a:prstGeom>
        <a:noFill xmlns:a="http://schemas.openxmlformats.org/drawingml/2006/main"/>
        <a:ln xmlns:a="http://schemas.openxmlformats.org/drawingml/2006/main" w="9525" algn="ctr">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Right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8580438" cy="5834063"/>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0.15625</cdr:x>
      <cdr:y>0.60775</cdr:y>
    </cdr:from>
    <cdr:to>
      <cdr:x>0.25325</cdr:x>
      <cdr:y>0.72</cdr:y>
    </cdr:to>
    <cdr:sp macro="" textlink="">
      <cdr:nvSpPr>
        <cdr:cNvPr id="140289" name="Text Box 7">
          <a:extLst xmlns:a="http://schemas.openxmlformats.org/drawingml/2006/main">
            <a:ext uri="{FF2B5EF4-FFF2-40B4-BE49-F238E27FC236}">
              <a16:creationId xmlns:a16="http://schemas.microsoft.com/office/drawing/2014/main" id="{650B81C8-530E-4C4C-BC9F-179880A3083F}"/>
            </a:ext>
          </a:extLst>
        </cdr:cNvPr>
        <cdr:cNvSpPr txBox="1">
          <a:spLocks xmlns:a="http://schemas.openxmlformats.org/drawingml/2006/main" noChangeArrowheads="1"/>
        </cdr:cNvSpPr>
      </cdr:nvSpPr>
      <cdr:spPr bwMode="auto">
        <a:xfrm xmlns:a="http://schemas.openxmlformats.org/drawingml/2006/main">
          <a:off x="1334988" y="3536968"/>
          <a:ext cx="828761" cy="6532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Right Turn Lane Not Warranted</a:t>
          </a:r>
        </a:p>
      </cdr:txBody>
    </cdr:sp>
  </cdr:relSizeAnchor>
  <cdr:relSizeAnchor xmlns:cdr="http://schemas.openxmlformats.org/drawingml/2006/chartDrawing">
    <cdr:from>
      <cdr:x>0.3555</cdr:x>
      <cdr:y>0.47</cdr:y>
    </cdr:from>
    <cdr:to>
      <cdr:x>0.505</cdr:x>
      <cdr:y>0.5365</cdr:y>
    </cdr:to>
    <cdr:sp macro="" textlink="">
      <cdr:nvSpPr>
        <cdr:cNvPr id="140290" name="Text Box 8">
          <a:extLst xmlns:a="http://schemas.openxmlformats.org/drawingml/2006/main">
            <a:ext uri="{FF2B5EF4-FFF2-40B4-BE49-F238E27FC236}">
              <a16:creationId xmlns:a16="http://schemas.microsoft.com/office/drawing/2014/main" id="{BF696D5E-5722-4E9E-9849-7B14CF0CB231}"/>
            </a:ext>
          </a:extLst>
        </cdr:cNvPr>
        <cdr:cNvSpPr txBox="1">
          <a:spLocks xmlns:a="http://schemas.openxmlformats.org/drawingml/2006/main" noChangeArrowheads="1"/>
        </cdr:cNvSpPr>
      </cdr:nvSpPr>
      <cdr:spPr bwMode="auto">
        <a:xfrm xmlns:a="http://schemas.openxmlformats.org/drawingml/2006/main">
          <a:off x="3037365" y="2735294"/>
          <a:ext cx="1277317" cy="387015"/>
        </a:xfrm>
        <a:prstGeom xmlns:a="http://schemas.openxmlformats.org/drawingml/2006/main" prst="rect">
          <a:avLst/>
        </a:prstGeom>
        <a:noFill xmlns:a="http://schemas.openxmlformats.org/drawingml/2006/main"/>
        <a:ln xmlns:a="http://schemas.openxmlformats.org/drawingml/2006/main" w="9525" algn="ctr">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Right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8580438" cy="5834063"/>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0.13325</cdr:x>
      <cdr:y>0.64975</cdr:y>
    </cdr:from>
    <cdr:to>
      <cdr:x>0.22875</cdr:x>
      <cdr:y>0.765</cdr:y>
    </cdr:to>
    <cdr:sp macro="" textlink="">
      <cdr:nvSpPr>
        <cdr:cNvPr id="141313" name="Text Box 7">
          <a:extLst xmlns:a="http://schemas.openxmlformats.org/drawingml/2006/main">
            <a:ext uri="{FF2B5EF4-FFF2-40B4-BE49-F238E27FC236}">
              <a16:creationId xmlns:a16="http://schemas.microsoft.com/office/drawing/2014/main" id="{C362C249-9E3E-476D-BCE0-98EC13DBBDFE}"/>
            </a:ext>
          </a:extLst>
        </cdr:cNvPr>
        <cdr:cNvSpPr txBox="1">
          <a:spLocks xmlns:a="http://schemas.openxmlformats.org/drawingml/2006/main" noChangeArrowheads="1"/>
        </cdr:cNvSpPr>
      </cdr:nvSpPr>
      <cdr:spPr bwMode="auto">
        <a:xfrm xmlns:a="http://schemas.openxmlformats.org/drawingml/2006/main">
          <a:off x="1138478" y="3781399"/>
          <a:ext cx="815945" cy="6707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Right Turn Lane Not Warranted</a:t>
          </a:r>
        </a:p>
      </cdr:txBody>
    </cdr:sp>
  </cdr:relSizeAnchor>
  <cdr:relSizeAnchor xmlns:cdr="http://schemas.openxmlformats.org/drawingml/2006/chartDrawing">
    <cdr:from>
      <cdr:x>0.38325</cdr:x>
      <cdr:y>0.443</cdr:y>
    </cdr:from>
    <cdr:to>
      <cdr:x>0.51875</cdr:x>
      <cdr:y>0.50975</cdr:y>
    </cdr:to>
    <cdr:sp macro="" textlink="">
      <cdr:nvSpPr>
        <cdr:cNvPr id="141314" name="Text Box 8">
          <a:extLst xmlns:a="http://schemas.openxmlformats.org/drawingml/2006/main">
            <a:ext uri="{FF2B5EF4-FFF2-40B4-BE49-F238E27FC236}">
              <a16:creationId xmlns:a16="http://schemas.microsoft.com/office/drawing/2014/main" id="{2218E2CB-DE84-422E-9072-B39CF5E17D3F}"/>
            </a:ext>
          </a:extLst>
        </cdr:cNvPr>
        <cdr:cNvSpPr txBox="1">
          <a:spLocks xmlns:a="http://schemas.openxmlformats.org/drawingml/2006/main" noChangeArrowheads="1"/>
        </cdr:cNvSpPr>
      </cdr:nvSpPr>
      <cdr:spPr bwMode="auto">
        <a:xfrm xmlns:a="http://schemas.openxmlformats.org/drawingml/2006/main">
          <a:off x="3274459" y="2578160"/>
          <a:ext cx="1157702" cy="388470"/>
        </a:xfrm>
        <a:prstGeom xmlns:a="http://schemas.openxmlformats.org/drawingml/2006/main" prst="rect">
          <a:avLst/>
        </a:prstGeom>
        <a:noFill xmlns:a="http://schemas.openxmlformats.org/drawingml/2006/main"/>
        <a:ln xmlns:a="http://schemas.openxmlformats.org/drawingml/2006/main" w="9525" algn="ctr">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Right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userShapes>
</file>

<file path=xl/drawings/drawing3.xml><?xml version="1.0" encoding="utf-8"?>
<c:userShapes xmlns:c="http://schemas.openxmlformats.org/drawingml/2006/chart">
  <cdr:relSizeAnchor xmlns:cdr="http://schemas.openxmlformats.org/drawingml/2006/chartDrawing">
    <cdr:from>
      <cdr:x>0.53925</cdr:x>
      <cdr:y>0.31275</cdr:y>
    </cdr:from>
    <cdr:to>
      <cdr:x>0.6655</cdr:x>
      <cdr:y>0.37098</cdr:y>
    </cdr:to>
    <cdr:sp macro="" textlink="">
      <cdr:nvSpPr>
        <cdr:cNvPr id="29892" name="Text Box 9">
          <a:extLst xmlns:a="http://schemas.openxmlformats.org/drawingml/2006/main">
            <a:ext uri="{FF2B5EF4-FFF2-40B4-BE49-F238E27FC236}">
              <a16:creationId xmlns:a16="http://schemas.microsoft.com/office/drawing/2014/main" id="{99A6DEF0-6392-4AE5-93C8-6A23AFD4C160}"/>
            </a:ext>
          </a:extLst>
        </cdr:cNvPr>
        <cdr:cNvSpPr txBox="1">
          <a:spLocks xmlns:a="http://schemas.openxmlformats.org/drawingml/2006/main" noChangeArrowheads="1"/>
        </cdr:cNvSpPr>
      </cdr:nvSpPr>
      <cdr:spPr bwMode="auto">
        <a:xfrm xmlns:a="http://schemas.openxmlformats.org/drawingml/2006/main">
          <a:off x="4607312" y="1820135"/>
          <a:ext cx="1078670" cy="33886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ysClr val="windowText" lastClr="000000"/>
              </a:solidFill>
              <a:latin typeface="Arial"/>
              <a:cs typeface="Arial"/>
            </a:rPr>
            <a:t>Left Turn Lane</a:t>
          </a:r>
        </a:p>
        <a:p xmlns:a="http://schemas.openxmlformats.org/drawingml/2006/main">
          <a:pPr algn="ctr" rtl="0">
            <a:defRPr sz="1000"/>
          </a:pPr>
          <a:r>
            <a:rPr lang="en-US" sz="1000" b="1" i="0" u="none" strike="noStrike" baseline="0">
              <a:solidFill>
                <a:sysClr val="windowText" lastClr="000000"/>
              </a:solidFill>
              <a:latin typeface="Arial"/>
              <a:cs typeface="Arial"/>
            </a:rPr>
            <a:t>Warranted</a:t>
          </a:r>
        </a:p>
      </cdr:txBody>
    </cdr:sp>
  </cdr:relSizeAnchor>
  <cdr:relSizeAnchor xmlns:cdr="http://schemas.openxmlformats.org/drawingml/2006/chartDrawing">
    <cdr:from>
      <cdr:x>0.08082</cdr:x>
      <cdr:y>0.72966</cdr:y>
    </cdr:from>
    <cdr:to>
      <cdr:x>0.17632</cdr:x>
      <cdr:y>0.81697</cdr:y>
    </cdr:to>
    <cdr:sp macro="" textlink="">
      <cdr:nvSpPr>
        <cdr:cNvPr id="29893" name="Text Box 10">
          <a:extLst xmlns:a="http://schemas.openxmlformats.org/drawingml/2006/main">
            <a:ext uri="{FF2B5EF4-FFF2-40B4-BE49-F238E27FC236}">
              <a16:creationId xmlns:a16="http://schemas.microsoft.com/office/drawing/2014/main" id="{6A5D2EE8-917B-4C93-B242-8EB3E5D758DD}"/>
            </a:ext>
          </a:extLst>
        </cdr:cNvPr>
        <cdr:cNvSpPr txBox="1">
          <a:spLocks xmlns:a="http://schemas.openxmlformats.org/drawingml/2006/main" noChangeArrowheads="1"/>
        </cdr:cNvSpPr>
      </cdr:nvSpPr>
      <cdr:spPr bwMode="auto">
        <a:xfrm xmlns:a="http://schemas.openxmlformats.org/drawingml/2006/main">
          <a:off x="690528" y="4246480"/>
          <a:ext cx="815945" cy="5080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 Not Warranted</a:t>
          </a:r>
        </a:p>
      </cdr:txBody>
    </cdr:sp>
  </cdr:relSizeAnchor>
  <cdr:relSizeAnchor xmlns:cdr="http://schemas.openxmlformats.org/drawingml/2006/chartDrawing">
    <cdr:from>
      <cdr:x>0.72875</cdr:x>
      <cdr:y>0.82625</cdr:y>
    </cdr:from>
    <cdr:to>
      <cdr:x>0.74827</cdr:x>
      <cdr:y>0.85048</cdr:y>
    </cdr:to>
    <cdr:sp macro="" textlink="">
      <cdr:nvSpPr>
        <cdr:cNvPr id="29894" name="Text Box 198">
          <a:extLst xmlns:a="http://schemas.openxmlformats.org/drawingml/2006/main">
            <a:ext uri="{FF2B5EF4-FFF2-40B4-BE49-F238E27FC236}">
              <a16:creationId xmlns:a16="http://schemas.microsoft.com/office/drawing/2014/main" id="{1853D7DC-A012-49D9-B4E2-DA95E1180F2E}"/>
            </a:ext>
          </a:extLst>
        </cdr:cNvPr>
        <cdr:cNvSpPr txBox="1">
          <a:spLocks xmlns:a="http://schemas.openxmlformats.org/drawingml/2006/main" noChangeArrowheads="1"/>
        </cdr:cNvSpPr>
      </cdr:nvSpPr>
      <cdr:spPr bwMode="auto">
        <a:xfrm xmlns:a="http://schemas.openxmlformats.org/drawingml/2006/main">
          <a:off x="6226385" y="480858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a:t>
          </a:r>
        </a:p>
      </cdr:txBody>
    </cdr:sp>
  </cdr:relSizeAnchor>
  <cdr:relSizeAnchor xmlns:cdr="http://schemas.openxmlformats.org/drawingml/2006/chartDrawing">
    <cdr:from>
      <cdr:x>0.53925</cdr:x>
      <cdr:y>0.82625</cdr:y>
    </cdr:from>
    <cdr:to>
      <cdr:x>0.55877</cdr:x>
      <cdr:y>0.85048</cdr:y>
    </cdr:to>
    <cdr:sp macro="" textlink="">
      <cdr:nvSpPr>
        <cdr:cNvPr id="29895" name="Text Box 199">
          <a:extLst xmlns:a="http://schemas.openxmlformats.org/drawingml/2006/main">
            <a:ext uri="{FF2B5EF4-FFF2-40B4-BE49-F238E27FC236}">
              <a16:creationId xmlns:a16="http://schemas.microsoft.com/office/drawing/2014/main" id="{8689E74C-AFFE-48FF-A3F4-3C898A26BA6A}"/>
            </a:ext>
          </a:extLst>
        </cdr:cNvPr>
        <cdr:cNvSpPr txBox="1">
          <a:spLocks xmlns:a="http://schemas.openxmlformats.org/drawingml/2006/main" noChangeArrowheads="1"/>
        </cdr:cNvSpPr>
      </cdr:nvSpPr>
      <cdr:spPr bwMode="auto">
        <a:xfrm xmlns:a="http://schemas.openxmlformats.org/drawingml/2006/main">
          <a:off x="4607312" y="480858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a:t>
          </a:r>
        </a:p>
      </cdr:txBody>
    </cdr:sp>
  </cdr:relSizeAnchor>
  <cdr:relSizeAnchor xmlns:cdr="http://schemas.openxmlformats.org/drawingml/2006/chartDrawing">
    <cdr:from>
      <cdr:x>0.4505</cdr:x>
      <cdr:y>0.82625</cdr:y>
    </cdr:from>
    <cdr:to>
      <cdr:x>0.47002</cdr:x>
      <cdr:y>0.85048</cdr:y>
    </cdr:to>
    <cdr:sp macro="" textlink="">
      <cdr:nvSpPr>
        <cdr:cNvPr id="29896" name="Text Box 200">
          <a:extLst xmlns:a="http://schemas.openxmlformats.org/drawingml/2006/main">
            <a:ext uri="{FF2B5EF4-FFF2-40B4-BE49-F238E27FC236}">
              <a16:creationId xmlns:a16="http://schemas.microsoft.com/office/drawing/2014/main" id="{13947744-3B31-4FCD-99A5-99714FBE6BE6}"/>
            </a:ext>
          </a:extLst>
        </cdr:cNvPr>
        <cdr:cNvSpPr txBox="1">
          <a:spLocks xmlns:a="http://schemas.openxmlformats.org/drawingml/2006/main" noChangeArrowheads="1"/>
        </cdr:cNvSpPr>
      </cdr:nvSpPr>
      <cdr:spPr bwMode="auto">
        <a:xfrm xmlns:a="http://schemas.openxmlformats.org/drawingml/2006/main">
          <a:off x="3849038" y="480858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a:t>
          </a:r>
        </a:p>
      </cdr:txBody>
    </cdr:sp>
  </cdr:relSizeAnchor>
  <cdr:relSizeAnchor xmlns:cdr="http://schemas.openxmlformats.org/drawingml/2006/chartDrawing">
    <cdr:from>
      <cdr:x>0.39575</cdr:x>
      <cdr:y>0.82625</cdr:y>
    </cdr:from>
    <cdr:to>
      <cdr:x>0.41527</cdr:x>
      <cdr:y>0.85048</cdr:y>
    </cdr:to>
    <cdr:sp macro="" textlink="">
      <cdr:nvSpPr>
        <cdr:cNvPr id="29897" name="Text Box 201">
          <a:extLst xmlns:a="http://schemas.openxmlformats.org/drawingml/2006/main">
            <a:ext uri="{FF2B5EF4-FFF2-40B4-BE49-F238E27FC236}">
              <a16:creationId xmlns:a16="http://schemas.microsoft.com/office/drawing/2014/main" id="{2A0B1163-3FEE-4877-A0DA-A86CCB588175}"/>
            </a:ext>
          </a:extLst>
        </cdr:cNvPr>
        <cdr:cNvSpPr txBox="1">
          <a:spLocks xmlns:a="http://schemas.openxmlformats.org/drawingml/2006/main" noChangeArrowheads="1"/>
        </cdr:cNvSpPr>
      </cdr:nvSpPr>
      <cdr:spPr bwMode="auto">
        <a:xfrm xmlns:a="http://schemas.openxmlformats.org/drawingml/2006/main">
          <a:off x="3381258" y="480858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a:t>
          </a:r>
        </a:p>
      </cdr:txBody>
    </cdr:sp>
  </cdr:relSizeAnchor>
  <cdr:relSizeAnchor xmlns:cdr="http://schemas.openxmlformats.org/drawingml/2006/chartDrawing">
    <cdr:from>
      <cdr:x>0.35925</cdr:x>
      <cdr:y>0.82625</cdr:y>
    </cdr:from>
    <cdr:to>
      <cdr:x>0.37877</cdr:x>
      <cdr:y>0.85048</cdr:y>
    </cdr:to>
    <cdr:sp macro="" textlink="">
      <cdr:nvSpPr>
        <cdr:cNvPr id="29898" name="Text Box 202">
          <a:extLst xmlns:a="http://schemas.openxmlformats.org/drawingml/2006/main">
            <a:ext uri="{FF2B5EF4-FFF2-40B4-BE49-F238E27FC236}">
              <a16:creationId xmlns:a16="http://schemas.microsoft.com/office/drawing/2014/main" id="{B028C998-C670-4418-878F-D678C09430E5}"/>
            </a:ext>
          </a:extLst>
        </cdr:cNvPr>
        <cdr:cNvSpPr txBox="1">
          <a:spLocks xmlns:a="http://schemas.openxmlformats.org/drawingml/2006/main" noChangeArrowheads="1"/>
        </cdr:cNvSpPr>
      </cdr:nvSpPr>
      <cdr:spPr bwMode="auto">
        <a:xfrm xmlns:a="http://schemas.openxmlformats.org/drawingml/2006/main">
          <a:off x="3069405" y="480858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5%</a:t>
          </a:r>
        </a:p>
      </cdr:txBody>
    </cdr:sp>
  </cdr:relSizeAnchor>
  <cdr:relSizeAnchor xmlns:cdr="http://schemas.openxmlformats.org/drawingml/2006/chartDrawing">
    <cdr:from>
      <cdr:x>0.27625</cdr:x>
      <cdr:y>0.82625</cdr:y>
    </cdr:from>
    <cdr:to>
      <cdr:x>0.30245</cdr:x>
      <cdr:y>0.85048</cdr:y>
    </cdr:to>
    <cdr:sp macro="" textlink="">
      <cdr:nvSpPr>
        <cdr:cNvPr id="29899" name="Text Box 203">
          <a:extLst xmlns:a="http://schemas.openxmlformats.org/drawingml/2006/main">
            <a:ext uri="{FF2B5EF4-FFF2-40B4-BE49-F238E27FC236}">
              <a16:creationId xmlns:a16="http://schemas.microsoft.com/office/drawing/2014/main" id="{F9FC80CC-DCF1-415C-B624-31A3E51C64B7}"/>
            </a:ext>
          </a:extLst>
        </cdr:cNvPr>
        <cdr:cNvSpPr txBox="1">
          <a:spLocks xmlns:a="http://schemas.openxmlformats.org/drawingml/2006/main" noChangeArrowheads="1"/>
        </cdr:cNvSpPr>
      </cdr:nvSpPr>
      <cdr:spPr bwMode="auto">
        <a:xfrm xmlns:a="http://schemas.openxmlformats.org/drawingml/2006/main">
          <a:off x="2360259" y="480858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10%</a:t>
          </a:r>
        </a:p>
      </cdr:txBody>
    </cdr:sp>
  </cdr:relSizeAnchor>
  <cdr:relSizeAnchor xmlns:cdr="http://schemas.openxmlformats.org/drawingml/2006/chartDrawing">
    <cdr:from>
      <cdr:x>0.24325</cdr:x>
      <cdr:y>0.82625</cdr:y>
    </cdr:from>
    <cdr:to>
      <cdr:x>0.26945</cdr:x>
      <cdr:y>0.85048</cdr:y>
    </cdr:to>
    <cdr:sp macro="" textlink="">
      <cdr:nvSpPr>
        <cdr:cNvPr id="29900" name="Text Box 204">
          <a:extLst xmlns:a="http://schemas.openxmlformats.org/drawingml/2006/main">
            <a:ext uri="{FF2B5EF4-FFF2-40B4-BE49-F238E27FC236}">
              <a16:creationId xmlns:a16="http://schemas.microsoft.com/office/drawing/2014/main" id="{82983202-748E-4FE6-B1AF-BDD55480E608}"/>
            </a:ext>
          </a:extLst>
        </cdr:cNvPr>
        <cdr:cNvSpPr txBox="1">
          <a:spLocks xmlns:a="http://schemas.openxmlformats.org/drawingml/2006/main" noChangeArrowheads="1"/>
        </cdr:cNvSpPr>
      </cdr:nvSpPr>
      <cdr:spPr bwMode="auto">
        <a:xfrm xmlns:a="http://schemas.openxmlformats.org/drawingml/2006/main">
          <a:off x="2078310" y="480858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15%</a:t>
          </a:r>
        </a:p>
      </cdr:txBody>
    </cdr:sp>
  </cdr:relSizeAnchor>
  <cdr:relSizeAnchor xmlns:cdr="http://schemas.openxmlformats.org/drawingml/2006/chartDrawing">
    <cdr:from>
      <cdr:x>0.21925</cdr:x>
      <cdr:y>0.82625</cdr:y>
    </cdr:from>
    <cdr:to>
      <cdr:x>0.24545</cdr:x>
      <cdr:y>0.85048</cdr:y>
    </cdr:to>
    <cdr:sp macro="" textlink="">
      <cdr:nvSpPr>
        <cdr:cNvPr id="29901" name="Text Box 205">
          <a:extLst xmlns:a="http://schemas.openxmlformats.org/drawingml/2006/main">
            <a:ext uri="{FF2B5EF4-FFF2-40B4-BE49-F238E27FC236}">
              <a16:creationId xmlns:a16="http://schemas.microsoft.com/office/drawing/2014/main" id="{7AEE944D-44AB-46CA-B7D1-38102DCBD05A}"/>
            </a:ext>
          </a:extLst>
        </cdr:cNvPr>
        <cdr:cNvSpPr txBox="1">
          <a:spLocks xmlns:a="http://schemas.openxmlformats.org/drawingml/2006/main" noChangeArrowheads="1"/>
        </cdr:cNvSpPr>
      </cdr:nvSpPr>
      <cdr:spPr bwMode="auto">
        <a:xfrm xmlns:a="http://schemas.openxmlformats.org/drawingml/2006/main">
          <a:off x="1873256" y="480858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20%</a:t>
          </a:r>
        </a:p>
      </cdr:txBody>
    </cdr:sp>
  </cdr:relSizeAnchor>
  <cdr:relSizeAnchor xmlns:cdr="http://schemas.openxmlformats.org/drawingml/2006/chartDrawing">
    <cdr:from>
      <cdr:x>0.19925</cdr:x>
      <cdr:y>0.82625</cdr:y>
    </cdr:from>
    <cdr:to>
      <cdr:x>0.22545</cdr:x>
      <cdr:y>0.85048</cdr:y>
    </cdr:to>
    <cdr:sp macro="" textlink="">
      <cdr:nvSpPr>
        <cdr:cNvPr id="29902" name="Text Box 206">
          <a:extLst xmlns:a="http://schemas.openxmlformats.org/drawingml/2006/main">
            <a:ext uri="{FF2B5EF4-FFF2-40B4-BE49-F238E27FC236}">
              <a16:creationId xmlns:a16="http://schemas.microsoft.com/office/drawing/2014/main" id="{CA8AEED7-D64C-4BA1-BEE8-2DDED2F04994}"/>
            </a:ext>
          </a:extLst>
        </cdr:cNvPr>
        <cdr:cNvSpPr txBox="1">
          <a:spLocks xmlns:a="http://schemas.openxmlformats.org/drawingml/2006/main" noChangeArrowheads="1"/>
        </cdr:cNvSpPr>
      </cdr:nvSpPr>
      <cdr:spPr bwMode="auto">
        <a:xfrm xmlns:a="http://schemas.openxmlformats.org/drawingml/2006/main">
          <a:off x="1702377" y="480858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30%</a:t>
          </a:r>
        </a:p>
      </cdr:txBody>
    </cdr:sp>
  </cdr:relSizeAnchor>
  <cdr:relSizeAnchor xmlns:cdr="http://schemas.openxmlformats.org/drawingml/2006/chartDrawing">
    <cdr:from>
      <cdr:x>0.178</cdr:x>
      <cdr:y>0.82625</cdr:y>
    </cdr:from>
    <cdr:to>
      <cdr:x>0.2042</cdr:x>
      <cdr:y>0.85048</cdr:y>
    </cdr:to>
    <cdr:sp macro="" textlink="">
      <cdr:nvSpPr>
        <cdr:cNvPr id="29903" name="Text Box 207">
          <a:extLst xmlns:a="http://schemas.openxmlformats.org/drawingml/2006/main">
            <a:ext uri="{FF2B5EF4-FFF2-40B4-BE49-F238E27FC236}">
              <a16:creationId xmlns:a16="http://schemas.microsoft.com/office/drawing/2014/main" id="{6DBC964D-1EA1-4F78-9560-FC727DBDD74D}"/>
            </a:ext>
          </a:extLst>
        </cdr:cNvPr>
        <cdr:cNvSpPr txBox="1">
          <a:spLocks xmlns:a="http://schemas.openxmlformats.org/drawingml/2006/main" noChangeArrowheads="1"/>
        </cdr:cNvSpPr>
      </cdr:nvSpPr>
      <cdr:spPr bwMode="auto">
        <a:xfrm xmlns:a="http://schemas.openxmlformats.org/drawingml/2006/main">
          <a:off x="1520819" y="480858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40%</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546523" cy="581025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0.09175</cdr:x>
      <cdr:y>0.66</cdr:y>
    </cdr:from>
    <cdr:to>
      <cdr:x>0.172</cdr:x>
      <cdr:y>0.74877</cdr:y>
    </cdr:to>
    <cdr:sp macro="" textlink="">
      <cdr:nvSpPr>
        <cdr:cNvPr id="2189" name="Text Box 7">
          <a:extLst xmlns:a="http://schemas.openxmlformats.org/drawingml/2006/main">
            <a:ext uri="{FF2B5EF4-FFF2-40B4-BE49-F238E27FC236}">
              <a16:creationId xmlns:a16="http://schemas.microsoft.com/office/drawing/2014/main" id="{5E9A83B9-5B76-4C6C-97B3-F21CAE24A689}"/>
            </a:ext>
          </a:extLst>
        </cdr:cNvPr>
        <cdr:cNvSpPr txBox="1">
          <a:spLocks xmlns:a="http://schemas.openxmlformats.org/drawingml/2006/main" noChangeArrowheads="1"/>
        </cdr:cNvSpPr>
      </cdr:nvSpPr>
      <cdr:spPr bwMode="auto">
        <a:xfrm xmlns:a="http://schemas.openxmlformats.org/drawingml/2006/main">
          <a:off x="783905" y="3841053"/>
          <a:ext cx="685650" cy="5166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 Not</a:t>
          </a:r>
          <a:r>
            <a:rPr lang="en-US" sz="1000" b="0" i="0" u="none" strike="noStrike" baseline="0">
              <a:solidFill>
                <a:srgbClr val="000000"/>
              </a:solidFill>
              <a:latin typeface="Arial"/>
              <a:cs typeface="Arial"/>
            </a:rPr>
            <a:t> </a:t>
          </a:r>
          <a:r>
            <a:rPr lang="en-US" sz="1000" b="1" i="0" u="none" strike="noStrike" baseline="0">
              <a:solidFill>
                <a:srgbClr val="000000"/>
              </a:solidFill>
              <a:latin typeface="Arial"/>
              <a:cs typeface="Arial"/>
            </a:rPr>
            <a:t>Warranted</a:t>
          </a:r>
        </a:p>
      </cdr:txBody>
    </cdr:sp>
  </cdr:relSizeAnchor>
  <cdr:relSizeAnchor xmlns:cdr="http://schemas.openxmlformats.org/drawingml/2006/chartDrawing">
    <cdr:from>
      <cdr:x>0.53625</cdr:x>
      <cdr:y>0.30925</cdr:y>
    </cdr:from>
    <cdr:to>
      <cdr:x>0.65025</cdr:x>
      <cdr:y>0.37234</cdr:y>
    </cdr:to>
    <cdr:sp macro="" textlink="">
      <cdr:nvSpPr>
        <cdr:cNvPr id="2190" name="Text Box 8">
          <a:extLst xmlns:a="http://schemas.openxmlformats.org/drawingml/2006/main">
            <a:ext uri="{FF2B5EF4-FFF2-40B4-BE49-F238E27FC236}">
              <a16:creationId xmlns:a16="http://schemas.microsoft.com/office/drawing/2014/main" id="{9F84CBC9-23BE-4056-B586-C7E408231904}"/>
            </a:ext>
          </a:extLst>
        </cdr:cNvPr>
        <cdr:cNvSpPr txBox="1">
          <a:spLocks xmlns:a="http://schemas.openxmlformats.org/drawingml/2006/main" noChangeArrowheads="1"/>
        </cdr:cNvSpPr>
      </cdr:nvSpPr>
      <cdr:spPr bwMode="auto">
        <a:xfrm xmlns:a="http://schemas.openxmlformats.org/drawingml/2006/main">
          <a:off x="4581680" y="1799765"/>
          <a:ext cx="974007" cy="367173"/>
        </a:xfrm>
        <a:prstGeom xmlns:a="http://schemas.openxmlformats.org/drawingml/2006/main" prst="rect">
          <a:avLst/>
        </a:prstGeom>
        <a:noFill xmlns:a="http://schemas.openxmlformats.org/drawingml/2006/main"/>
        <a:ln xmlns:a="http://schemas.openxmlformats.org/drawingml/2006/main" w="9525" algn="ctr">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dr:relSizeAnchor xmlns:cdr="http://schemas.openxmlformats.org/drawingml/2006/chartDrawing">
    <cdr:from>
      <cdr:x>0.7462</cdr:x>
      <cdr:y>0.81785</cdr:y>
    </cdr:from>
    <cdr:to>
      <cdr:x>0.76355</cdr:x>
      <cdr:y>0.83956</cdr:y>
    </cdr:to>
    <cdr:sp macro="" textlink="">
      <cdr:nvSpPr>
        <cdr:cNvPr id="2191" name="Text Box 143">
          <a:extLst xmlns:a="http://schemas.openxmlformats.org/drawingml/2006/main">
            <a:ext uri="{FF2B5EF4-FFF2-40B4-BE49-F238E27FC236}">
              <a16:creationId xmlns:a16="http://schemas.microsoft.com/office/drawing/2014/main" id="{941C576C-D9C9-4F0E-96DD-383647C6AE54}"/>
            </a:ext>
          </a:extLst>
        </cdr:cNvPr>
        <cdr:cNvSpPr txBox="1">
          <a:spLocks xmlns:a="http://schemas.openxmlformats.org/drawingml/2006/main" noChangeArrowheads="1"/>
        </cdr:cNvSpPr>
      </cdr:nvSpPr>
      <cdr:spPr bwMode="auto">
        <a:xfrm xmlns:a="http://schemas.openxmlformats.org/drawingml/2006/main">
          <a:off x="6375454" y="4759722"/>
          <a:ext cx="148246" cy="1263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1%</a:t>
          </a:r>
        </a:p>
      </cdr:txBody>
    </cdr:sp>
  </cdr:relSizeAnchor>
  <cdr:relSizeAnchor xmlns:cdr="http://schemas.openxmlformats.org/drawingml/2006/chartDrawing">
    <cdr:from>
      <cdr:x>0.55129</cdr:x>
      <cdr:y>0.81707</cdr:y>
    </cdr:from>
    <cdr:to>
      <cdr:x>0.56864</cdr:x>
      <cdr:y>0.83878</cdr:y>
    </cdr:to>
    <cdr:sp macro="" textlink="">
      <cdr:nvSpPr>
        <cdr:cNvPr id="2192" name="Text Box 144">
          <a:extLst xmlns:a="http://schemas.openxmlformats.org/drawingml/2006/main">
            <a:ext uri="{FF2B5EF4-FFF2-40B4-BE49-F238E27FC236}">
              <a16:creationId xmlns:a16="http://schemas.microsoft.com/office/drawing/2014/main" id="{2435C403-2E50-4A26-AB52-6B0FF2F13D54}"/>
            </a:ext>
          </a:extLst>
        </cdr:cNvPr>
        <cdr:cNvSpPr txBox="1">
          <a:spLocks xmlns:a="http://schemas.openxmlformats.org/drawingml/2006/main" noChangeArrowheads="1"/>
        </cdr:cNvSpPr>
      </cdr:nvSpPr>
      <cdr:spPr bwMode="auto">
        <a:xfrm xmlns:a="http://schemas.openxmlformats.org/drawingml/2006/main">
          <a:off x="4710181" y="4755185"/>
          <a:ext cx="148246" cy="1263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2%</a:t>
          </a:r>
        </a:p>
      </cdr:txBody>
    </cdr:sp>
  </cdr:relSizeAnchor>
  <cdr:relSizeAnchor xmlns:cdr="http://schemas.openxmlformats.org/drawingml/2006/chartDrawing">
    <cdr:from>
      <cdr:x>0.46551</cdr:x>
      <cdr:y>0.81707</cdr:y>
    </cdr:from>
    <cdr:to>
      <cdr:x>0.48286</cdr:x>
      <cdr:y>0.83878</cdr:y>
    </cdr:to>
    <cdr:sp macro="" textlink="">
      <cdr:nvSpPr>
        <cdr:cNvPr id="2193" name="Text Box 145">
          <a:extLst xmlns:a="http://schemas.openxmlformats.org/drawingml/2006/main">
            <a:ext uri="{FF2B5EF4-FFF2-40B4-BE49-F238E27FC236}">
              <a16:creationId xmlns:a16="http://schemas.microsoft.com/office/drawing/2014/main" id="{5F07525F-2C44-4E3F-B97C-BC62C6097220}"/>
            </a:ext>
          </a:extLst>
        </cdr:cNvPr>
        <cdr:cNvSpPr txBox="1">
          <a:spLocks xmlns:a="http://schemas.openxmlformats.org/drawingml/2006/main" noChangeArrowheads="1"/>
        </cdr:cNvSpPr>
      </cdr:nvSpPr>
      <cdr:spPr bwMode="auto">
        <a:xfrm xmlns:a="http://schemas.openxmlformats.org/drawingml/2006/main">
          <a:off x="3977249" y="4755186"/>
          <a:ext cx="148246" cy="1263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3%</a:t>
          </a:r>
        </a:p>
      </cdr:txBody>
    </cdr:sp>
  </cdr:relSizeAnchor>
  <cdr:relSizeAnchor xmlns:cdr="http://schemas.openxmlformats.org/drawingml/2006/chartDrawing">
    <cdr:from>
      <cdr:x>0.41398</cdr:x>
      <cdr:y>0.81785</cdr:y>
    </cdr:from>
    <cdr:to>
      <cdr:x>0.43133</cdr:x>
      <cdr:y>0.83956</cdr:y>
    </cdr:to>
    <cdr:sp macro="" textlink="">
      <cdr:nvSpPr>
        <cdr:cNvPr id="2194" name="Text Box 146">
          <a:extLst xmlns:a="http://schemas.openxmlformats.org/drawingml/2006/main">
            <a:ext uri="{FF2B5EF4-FFF2-40B4-BE49-F238E27FC236}">
              <a16:creationId xmlns:a16="http://schemas.microsoft.com/office/drawing/2014/main" id="{2BF9AB70-F0B8-43DE-BD81-DD0C2EE721A0}"/>
            </a:ext>
          </a:extLst>
        </cdr:cNvPr>
        <cdr:cNvSpPr txBox="1">
          <a:spLocks xmlns:a="http://schemas.openxmlformats.org/drawingml/2006/main" noChangeArrowheads="1"/>
        </cdr:cNvSpPr>
      </cdr:nvSpPr>
      <cdr:spPr bwMode="auto">
        <a:xfrm xmlns:a="http://schemas.openxmlformats.org/drawingml/2006/main">
          <a:off x="3536974" y="4759721"/>
          <a:ext cx="148246" cy="1263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4%</a:t>
          </a:r>
        </a:p>
      </cdr:txBody>
    </cdr:sp>
  </cdr:relSizeAnchor>
  <cdr:relSizeAnchor xmlns:cdr="http://schemas.openxmlformats.org/drawingml/2006/chartDrawing">
    <cdr:from>
      <cdr:x>0.38144</cdr:x>
      <cdr:y>0.81629</cdr:y>
    </cdr:from>
    <cdr:to>
      <cdr:x>0.39879</cdr:x>
      <cdr:y>0.838</cdr:y>
    </cdr:to>
    <cdr:sp macro="" textlink="">
      <cdr:nvSpPr>
        <cdr:cNvPr id="2195" name="Text Box 147">
          <a:extLst xmlns:a="http://schemas.openxmlformats.org/drawingml/2006/main">
            <a:ext uri="{FF2B5EF4-FFF2-40B4-BE49-F238E27FC236}">
              <a16:creationId xmlns:a16="http://schemas.microsoft.com/office/drawing/2014/main" id="{D075D22F-98E6-4A7F-9F92-D8B9E167C4F9}"/>
            </a:ext>
          </a:extLst>
        </cdr:cNvPr>
        <cdr:cNvSpPr txBox="1">
          <a:spLocks xmlns:a="http://schemas.openxmlformats.org/drawingml/2006/main" noChangeArrowheads="1"/>
        </cdr:cNvSpPr>
      </cdr:nvSpPr>
      <cdr:spPr bwMode="auto">
        <a:xfrm xmlns:a="http://schemas.openxmlformats.org/drawingml/2006/main">
          <a:off x="3259006" y="4750650"/>
          <a:ext cx="148246" cy="1263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5%</a:t>
          </a:r>
        </a:p>
      </cdr:txBody>
    </cdr:sp>
  </cdr:relSizeAnchor>
  <cdr:relSizeAnchor xmlns:cdr="http://schemas.openxmlformats.org/drawingml/2006/chartDrawing">
    <cdr:from>
      <cdr:x>0.29722</cdr:x>
      <cdr:y>0.81785</cdr:y>
    </cdr:from>
    <cdr:to>
      <cdr:x>0.32042</cdr:x>
      <cdr:y>0.83956</cdr:y>
    </cdr:to>
    <cdr:sp macro="" textlink="">
      <cdr:nvSpPr>
        <cdr:cNvPr id="2196" name="Text Box 148">
          <a:extLst xmlns:a="http://schemas.openxmlformats.org/drawingml/2006/main">
            <a:ext uri="{FF2B5EF4-FFF2-40B4-BE49-F238E27FC236}">
              <a16:creationId xmlns:a16="http://schemas.microsoft.com/office/drawing/2014/main" id="{8576FD10-D420-4D17-80BF-4551CFBF7CF8}"/>
            </a:ext>
          </a:extLst>
        </cdr:cNvPr>
        <cdr:cNvSpPr txBox="1">
          <a:spLocks xmlns:a="http://schemas.openxmlformats.org/drawingml/2006/main" noChangeArrowheads="1"/>
        </cdr:cNvSpPr>
      </cdr:nvSpPr>
      <cdr:spPr bwMode="auto">
        <a:xfrm xmlns:a="http://schemas.openxmlformats.org/drawingml/2006/main">
          <a:off x="2539444" y="4759721"/>
          <a:ext cx="198196" cy="1263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10%</a:t>
          </a:r>
        </a:p>
      </cdr:txBody>
    </cdr:sp>
  </cdr:relSizeAnchor>
  <cdr:relSizeAnchor xmlns:cdr="http://schemas.openxmlformats.org/drawingml/2006/chartDrawing">
    <cdr:from>
      <cdr:x>0.26584</cdr:x>
      <cdr:y>0.81785</cdr:y>
    </cdr:from>
    <cdr:to>
      <cdr:x>0.29709</cdr:x>
      <cdr:y>0.84885</cdr:y>
    </cdr:to>
    <cdr:sp macro="" textlink="">
      <cdr:nvSpPr>
        <cdr:cNvPr id="2197" name="Text Box 149">
          <a:extLst xmlns:a="http://schemas.openxmlformats.org/drawingml/2006/main">
            <a:ext uri="{FF2B5EF4-FFF2-40B4-BE49-F238E27FC236}">
              <a16:creationId xmlns:a16="http://schemas.microsoft.com/office/drawing/2014/main" id="{4C00EC67-4306-43EA-B677-456CCEB5B519}"/>
            </a:ext>
          </a:extLst>
        </cdr:cNvPr>
        <cdr:cNvSpPr txBox="1">
          <a:spLocks xmlns:a="http://schemas.openxmlformats.org/drawingml/2006/main" noChangeArrowheads="1"/>
        </cdr:cNvSpPr>
      </cdr:nvSpPr>
      <cdr:spPr bwMode="auto">
        <a:xfrm xmlns:a="http://schemas.openxmlformats.org/drawingml/2006/main">
          <a:off x="2271339" y="4759721"/>
          <a:ext cx="266998" cy="18041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15%</a:t>
          </a:r>
        </a:p>
      </cdr:txBody>
    </cdr:sp>
  </cdr:relSizeAnchor>
  <cdr:relSizeAnchor xmlns:cdr="http://schemas.openxmlformats.org/drawingml/2006/chartDrawing">
    <cdr:from>
      <cdr:x>0.24528</cdr:x>
      <cdr:y>0.81863</cdr:y>
    </cdr:from>
    <cdr:to>
      <cdr:x>0.26848</cdr:x>
      <cdr:y>0.84034</cdr:y>
    </cdr:to>
    <cdr:sp macro="" textlink="">
      <cdr:nvSpPr>
        <cdr:cNvPr id="2198" name="Text Box 150">
          <a:extLst xmlns:a="http://schemas.openxmlformats.org/drawingml/2006/main">
            <a:ext uri="{FF2B5EF4-FFF2-40B4-BE49-F238E27FC236}">
              <a16:creationId xmlns:a16="http://schemas.microsoft.com/office/drawing/2014/main" id="{DCEACDD6-DCF8-428E-B6CB-DCA95065E2C2}"/>
            </a:ext>
          </a:extLst>
        </cdr:cNvPr>
        <cdr:cNvSpPr txBox="1">
          <a:spLocks xmlns:a="http://schemas.openxmlformats.org/drawingml/2006/main" noChangeArrowheads="1"/>
        </cdr:cNvSpPr>
      </cdr:nvSpPr>
      <cdr:spPr bwMode="auto">
        <a:xfrm xmlns:a="http://schemas.openxmlformats.org/drawingml/2006/main">
          <a:off x="2095662" y="4764256"/>
          <a:ext cx="198196" cy="1263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20%</a:t>
          </a:r>
        </a:p>
      </cdr:txBody>
    </cdr:sp>
  </cdr:relSizeAnchor>
  <cdr:relSizeAnchor xmlns:cdr="http://schemas.openxmlformats.org/drawingml/2006/chartDrawing">
    <cdr:from>
      <cdr:x>0.22163</cdr:x>
      <cdr:y>0.81863</cdr:y>
    </cdr:from>
    <cdr:to>
      <cdr:x>0.24483</cdr:x>
      <cdr:y>0.84034</cdr:y>
    </cdr:to>
    <cdr:sp macro="" textlink="">
      <cdr:nvSpPr>
        <cdr:cNvPr id="2199" name="Text Box 151">
          <a:extLst xmlns:a="http://schemas.openxmlformats.org/drawingml/2006/main">
            <a:ext uri="{FF2B5EF4-FFF2-40B4-BE49-F238E27FC236}">
              <a16:creationId xmlns:a16="http://schemas.microsoft.com/office/drawing/2014/main" id="{9B0CDCA5-ECB8-4CBE-9DD5-515619182206}"/>
            </a:ext>
          </a:extLst>
        </cdr:cNvPr>
        <cdr:cNvSpPr txBox="1">
          <a:spLocks xmlns:a="http://schemas.openxmlformats.org/drawingml/2006/main" noChangeArrowheads="1"/>
        </cdr:cNvSpPr>
      </cdr:nvSpPr>
      <cdr:spPr bwMode="auto">
        <a:xfrm xmlns:a="http://schemas.openxmlformats.org/drawingml/2006/main">
          <a:off x="1893587" y="4764257"/>
          <a:ext cx="198196" cy="1263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30%</a:t>
          </a:r>
        </a:p>
      </cdr:txBody>
    </cdr:sp>
  </cdr:relSizeAnchor>
  <cdr:relSizeAnchor xmlns:cdr="http://schemas.openxmlformats.org/drawingml/2006/chartDrawing">
    <cdr:from>
      <cdr:x>0.19966</cdr:x>
      <cdr:y>0.81785</cdr:y>
    </cdr:from>
    <cdr:to>
      <cdr:x>0.22286</cdr:x>
      <cdr:y>0.83956</cdr:y>
    </cdr:to>
    <cdr:sp macro="" textlink="">
      <cdr:nvSpPr>
        <cdr:cNvPr id="2200" name="Text Box 152">
          <a:extLst xmlns:a="http://schemas.openxmlformats.org/drawingml/2006/main">
            <a:ext uri="{FF2B5EF4-FFF2-40B4-BE49-F238E27FC236}">
              <a16:creationId xmlns:a16="http://schemas.microsoft.com/office/drawing/2014/main" id="{672870DD-676E-4AB5-8B2C-815BF32B9E35}"/>
            </a:ext>
          </a:extLst>
        </cdr:cNvPr>
        <cdr:cNvSpPr txBox="1">
          <a:spLocks xmlns:a="http://schemas.openxmlformats.org/drawingml/2006/main" noChangeArrowheads="1"/>
        </cdr:cNvSpPr>
      </cdr:nvSpPr>
      <cdr:spPr bwMode="auto">
        <a:xfrm xmlns:a="http://schemas.openxmlformats.org/drawingml/2006/main">
          <a:off x="1705885" y="4759722"/>
          <a:ext cx="198196" cy="12631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700" b="1" i="0" u="none" strike="noStrike" baseline="0">
              <a:solidFill>
                <a:srgbClr val="000000"/>
              </a:solidFill>
              <a:latin typeface="Arial"/>
              <a:cs typeface="Arial"/>
            </a:rPr>
            <a:t>40%</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546523" cy="581025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0.0885</cdr:x>
      <cdr:y>0.69875</cdr:y>
    </cdr:from>
    <cdr:to>
      <cdr:x>0.176</cdr:x>
      <cdr:y>0.79525</cdr:y>
    </cdr:to>
    <cdr:sp macro="" textlink="">
      <cdr:nvSpPr>
        <cdr:cNvPr id="34858" name="Text Box 10">
          <a:extLst xmlns:a="http://schemas.openxmlformats.org/drawingml/2006/main">
            <a:ext uri="{FF2B5EF4-FFF2-40B4-BE49-F238E27FC236}">
              <a16:creationId xmlns:a16="http://schemas.microsoft.com/office/drawing/2014/main" id="{A4E379B9-FF70-4A37-A080-3715B43EDCDE}"/>
            </a:ext>
          </a:extLst>
        </cdr:cNvPr>
        <cdr:cNvSpPr txBox="1">
          <a:spLocks xmlns:a="http://schemas.openxmlformats.org/drawingml/2006/main" noChangeArrowheads="1"/>
        </cdr:cNvSpPr>
      </cdr:nvSpPr>
      <cdr:spPr bwMode="auto">
        <a:xfrm xmlns:a="http://schemas.openxmlformats.org/drawingml/2006/main">
          <a:off x="756137" y="4066568"/>
          <a:ext cx="747594" cy="5616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 Not Warranted</a:t>
          </a:r>
        </a:p>
      </cdr:txBody>
    </cdr:sp>
  </cdr:relSizeAnchor>
  <cdr:relSizeAnchor xmlns:cdr="http://schemas.openxmlformats.org/drawingml/2006/chartDrawing">
    <cdr:from>
      <cdr:x>0.49625</cdr:x>
      <cdr:y>0.357</cdr:y>
    </cdr:from>
    <cdr:to>
      <cdr:x>0.60975</cdr:x>
      <cdr:y>0.41512</cdr:y>
    </cdr:to>
    <cdr:sp macro="" textlink="">
      <cdr:nvSpPr>
        <cdr:cNvPr id="34857" name="Text Box 9">
          <a:extLst xmlns:a="http://schemas.openxmlformats.org/drawingml/2006/main">
            <a:ext uri="{FF2B5EF4-FFF2-40B4-BE49-F238E27FC236}">
              <a16:creationId xmlns:a16="http://schemas.microsoft.com/office/drawing/2014/main" id="{BED26023-7939-4DF7-82C4-BEFA720F557D}"/>
            </a:ext>
          </a:extLst>
        </cdr:cNvPr>
        <cdr:cNvSpPr txBox="1">
          <a:spLocks xmlns:a="http://schemas.openxmlformats.org/drawingml/2006/main" noChangeArrowheads="1"/>
        </cdr:cNvSpPr>
      </cdr:nvSpPr>
      <cdr:spPr bwMode="auto">
        <a:xfrm xmlns:a="http://schemas.openxmlformats.org/drawingml/2006/main">
          <a:off x="4239923" y="2077660"/>
          <a:ext cx="969735" cy="3382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dr:relSizeAnchor xmlns:cdr="http://schemas.openxmlformats.org/drawingml/2006/chartDrawing">
    <cdr:from>
      <cdr:x>0.7355</cdr:x>
      <cdr:y>0.80925</cdr:y>
    </cdr:from>
    <cdr:to>
      <cdr:x>0.75502</cdr:x>
      <cdr:y>0.83348</cdr:y>
    </cdr:to>
    <cdr:sp macro="" textlink="">
      <cdr:nvSpPr>
        <cdr:cNvPr id="34859" name="Text Box 43">
          <a:extLst xmlns:a="http://schemas.openxmlformats.org/drawingml/2006/main">
            <a:ext uri="{FF2B5EF4-FFF2-40B4-BE49-F238E27FC236}">
              <a16:creationId xmlns:a16="http://schemas.microsoft.com/office/drawing/2014/main" id="{048C7D5B-0888-4ABB-9A30-329DBA9B6AA3}"/>
            </a:ext>
          </a:extLst>
        </cdr:cNvPr>
        <cdr:cNvSpPr txBox="1">
          <a:spLocks xmlns:a="http://schemas.openxmlformats.org/drawingml/2006/main" noChangeArrowheads="1"/>
        </cdr:cNvSpPr>
      </cdr:nvSpPr>
      <cdr:spPr bwMode="auto">
        <a:xfrm xmlns:a="http://schemas.openxmlformats.org/drawingml/2006/main">
          <a:off x="6284057" y="4709653"/>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a:t>
          </a:r>
        </a:p>
      </cdr:txBody>
    </cdr:sp>
  </cdr:relSizeAnchor>
  <cdr:relSizeAnchor xmlns:cdr="http://schemas.openxmlformats.org/drawingml/2006/chartDrawing">
    <cdr:from>
      <cdr:x>0.5415</cdr:x>
      <cdr:y>0.80925</cdr:y>
    </cdr:from>
    <cdr:to>
      <cdr:x>0.56102</cdr:x>
      <cdr:y>0.83348</cdr:y>
    </cdr:to>
    <cdr:sp macro="" textlink="">
      <cdr:nvSpPr>
        <cdr:cNvPr id="34860" name="Text Box 44">
          <a:extLst xmlns:a="http://schemas.openxmlformats.org/drawingml/2006/main">
            <a:ext uri="{FF2B5EF4-FFF2-40B4-BE49-F238E27FC236}">
              <a16:creationId xmlns:a16="http://schemas.microsoft.com/office/drawing/2014/main" id="{C1A0591B-F253-4426-8050-B42BB2D88504}"/>
            </a:ext>
          </a:extLst>
        </cdr:cNvPr>
        <cdr:cNvSpPr txBox="1">
          <a:spLocks xmlns:a="http://schemas.openxmlformats.org/drawingml/2006/main" noChangeArrowheads="1"/>
        </cdr:cNvSpPr>
      </cdr:nvSpPr>
      <cdr:spPr bwMode="auto">
        <a:xfrm xmlns:a="http://schemas.openxmlformats.org/drawingml/2006/main">
          <a:off x="4626535" y="4709653"/>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a:t>
          </a:r>
        </a:p>
      </cdr:txBody>
    </cdr:sp>
  </cdr:relSizeAnchor>
  <cdr:relSizeAnchor xmlns:cdr="http://schemas.openxmlformats.org/drawingml/2006/chartDrawing">
    <cdr:from>
      <cdr:x>0.4575</cdr:x>
      <cdr:y>0.80925</cdr:y>
    </cdr:from>
    <cdr:to>
      <cdr:x>0.47702</cdr:x>
      <cdr:y>0.83348</cdr:y>
    </cdr:to>
    <cdr:sp macro="" textlink="">
      <cdr:nvSpPr>
        <cdr:cNvPr id="34861" name="Text Box 45">
          <a:extLst xmlns:a="http://schemas.openxmlformats.org/drawingml/2006/main">
            <a:ext uri="{FF2B5EF4-FFF2-40B4-BE49-F238E27FC236}">
              <a16:creationId xmlns:a16="http://schemas.microsoft.com/office/drawing/2014/main" id="{A7C057A8-FDF9-4593-B235-4617B7C5719F}"/>
            </a:ext>
          </a:extLst>
        </cdr:cNvPr>
        <cdr:cNvSpPr txBox="1">
          <a:spLocks xmlns:a="http://schemas.openxmlformats.org/drawingml/2006/main" noChangeArrowheads="1"/>
        </cdr:cNvSpPr>
      </cdr:nvSpPr>
      <cdr:spPr bwMode="auto">
        <a:xfrm xmlns:a="http://schemas.openxmlformats.org/drawingml/2006/main">
          <a:off x="3908846" y="4709653"/>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a:t>
          </a:r>
        </a:p>
      </cdr:txBody>
    </cdr:sp>
  </cdr:relSizeAnchor>
  <cdr:relSizeAnchor xmlns:cdr="http://schemas.openxmlformats.org/drawingml/2006/chartDrawing">
    <cdr:from>
      <cdr:x>0.4095</cdr:x>
      <cdr:y>0.80925</cdr:y>
    </cdr:from>
    <cdr:to>
      <cdr:x>0.42902</cdr:x>
      <cdr:y>0.83348</cdr:y>
    </cdr:to>
    <cdr:sp macro="" textlink="">
      <cdr:nvSpPr>
        <cdr:cNvPr id="34862" name="Text Box 46">
          <a:extLst xmlns:a="http://schemas.openxmlformats.org/drawingml/2006/main">
            <a:ext uri="{FF2B5EF4-FFF2-40B4-BE49-F238E27FC236}">
              <a16:creationId xmlns:a16="http://schemas.microsoft.com/office/drawing/2014/main" id="{18B432D5-3ACA-42E4-85C8-46D8A85F3DBE}"/>
            </a:ext>
          </a:extLst>
        </cdr:cNvPr>
        <cdr:cNvSpPr txBox="1">
          <a:spLocks xmlns:a="http://schemas.openxmlformats.org/drawingml/2006/main" noChangeArrowheads="1"/>
        </cdr:cNvSpPr>
      </cdr:nvSpPr>
      <cdr:spPr bwMode="auto">
        <a:xfrm xmlns:a="http://schemas.openxmlformats.org/drawingml/2006/main">
          <a:off x="3498737" y="4709653"/>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a:t>
          </a:r>
        </a:p>
      </cdr:txBody>
    </cdr:sp>
  </cdr:relSizeAnchor>
  <cdr:relSizeAnchor xmlns:cdr="http://schemas.openxmlformats.org/drawingml/2006/chartDrawing">
    <cdr:from>
      <cdr:x>0.3735</cdr:x>
      <cdr:y>0.80925</cdr:y>
    </cdr:from>
    <cdr:to>
      <cdr:x>0.39302</cdr:x>
      <cdr:y>0.83348</cdr:y>
    </cdr:to>
    <cdr:sp macro="" textlink="">
      <cdr:nvSpPr>
        <cdr:cNvPr id="34863" name="Text Box 47">
          <a:extLst xmlns:a="http://schemas.openxmlformats.org/drawingml/2006/main">
            <a:ext uri="{FF2B5EF4-FFF2-40B4-BE49-F238E27FC236}">
              <a16:creationId xmlns:a16="http://schemas.microsoft.com/office/drawing/2014/main" id="{8E4E4220-D2C1-4379-A8F0-ECE66DD290F5}"/>
            </a:ext>
          </a:extLst>
        </cdr:cNvPr>
        <cdr:cNvSpPr txBox="1">
          <a:spLocks xmlns:a="http://schemas.openxmlformats.org/drawingml/2006/main" noChangeArrowheads="1"/>
        </cdr:cNvSpPr>
      </cdr:nvSpPr>
      <cdr:spPr bwMode="auto">
        <a:xfrm xmlns:a="http://schemas.openxmlformats.org/drawingml/2006/main">
          <a:off x="3191156" y="4709653"/>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5%</a:t>
          </a:r>
        </a:p>
      </cdr:txBody>
    </cdr:sp>
  </cdr:relSizeAnchor>
  <cdr:relSizeAnchor xmlns:cdr="http://schemas.openxmlformats.org/drawingml/2006/chartDrawing">
    <cdr:from>
      <cdr:x>0.28725</cdr:x>
      <cdr:y>0.80925</cdr:y>
    </cdr:from>
    <cdr:to>
      <cdr:x>0.31345</cdr:x>
      <cdr:y>0.83348</cdr:y>
    </cdr:to>
    <cdr:sp macro="" textlink="">
      <cdr:nvSpPr>
        <cdr:cNvPr id="34864" name="Text Box 48">
          <a:extLst xmlns:a="http://schemas.openxmlformats.org/drawingml/2006/main">
            <a:ext uri="{FF2B5EF4-FFF2-40B4-BE49-F238E27FC236}">
              <a16:creationId xmlns:a16="http://schemas.microsoft.com/office/drawing/2014/main" id="{51F144F2-2A17-4737-B533-525F84379B4D}"/>
            </a:ext>
          </a:extLst>
        </cdr:cNvPr>
        <cdr:cNvSpPr txBox="1">
          <a:spLocks xmlns:a="http://schemas.openxmlformats.org/drawingml/2006/main" noChangeArrowheads="1"/>
        </cdr:cNvSpPr>
      </cdr:nvSpPr>
      <cdr:spPr bwMode="auto">
        <a:xfrm xmlns:a="http://schemas.openxmlformats.org/drawingml/2006/main">
          <a:off x="2454242" y="4709653"/>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10%</a:t>
          </a:r>
        </a:p>
      </cdr:txBody>
    </cdr:sp>
  </cdr:relSizeAnchor>
  <cdr:relSizeAnchor xmlns:cdr="http://schemas.openxmlformats.org/drawingml/2006/chartDrawing">
    <cdr:from>
      <cdr:x>0.258</cdr:x>
      <cdr:y>0.80925</cdr:y>
    </cdr:from>
    <cdr:to>
      <cdr:x>0.2842</cdr:x>
      <cdr:y>0.83348</cdr:y>
    </cdr:to>
    <cdr:sp macro="" textlink="">
      <cdr:nvSpPr>
        <cdr:cNvPr id="34865" name="Text Box 49">
          <a:extLst xmlns:a="http://schemas.openxmlformats.org/drawingml/2006/main">
            <a:ext uri="{FF2B5EF4-FFF2-40B4-BE49-F238E27FC236}">
              <a16:creationId xmlns:a16="http://schemas.microsoft.com/office/drawing/2014/main" id="{2DA8B3FC-6FDF-4A8D-AD22-6AC7C1721EB4}"/>
            </a:ext>
          </a:extLst>
        </cdr:cNvPr>
        <cdr:cNvSpPr txBox="1">
          <a:spLocks xmlns:a="http://schemas.openxmlformats.org/drawingml/2006/main" noChangeArrowheads="1"/>
        </cdr:cNvSpPr>
      </cdr:nvSpPr>
      <cdr:spPr bwMode="auto">
        <a:xfrm xmlns:a="http://schemas.openxmlformats.org/drawingml/2006/main">
          <a:off x="2204333" y="4709653"/>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15%</a:t>
          </a:r>
        </a:p>
      </cdr:txBody>
    </cdr:sp>
  </cdr:relSizeAnchor>
  <cdr:relSizeAnchor xmlns:cdr="http://schemas.openxmlformats.org/drawingml/2006/chartDrawing">
    <cdr:from>
      <cdr:x>0.232</cdr:x>
      <cdr:y>0.80925</cdr:y>
    </cdr:from>
    <cdr:to>
      <cdr:x>0.2582</cdr:x>
      <cdr:y>0.83348</cdr:y>
    </cdr:to>
    <cdr:sp macro="" textlink="">
      <cdr:nvSpPr>
        <cdr:cNvPr id="34866" name="Text Box 50">
          <a:extLst xmlns:a="http://schemas.openxmlformats.org/drawingml/2006/main">
            <a:ext uri="{FF2B5EF4-FFF2-40B4-BE49-F238E27FC236}">
              <a16:creationId xmlns:a16="http://schemas.microsoft.com/office/drawing/2014/main" id="{649E430D-A864-4369-B0EC-2BE60A063BEA}"/>
            </a:ext>
          </a:extLst>
        </cdr:cNvPr>
        <cdr:cNvSpPr txBox="1">
          <a:spLocks xmlns:a="http://schemas.openxmlformats.org/drawingml/2006/main" noChangeArrowheads="1"/>
        </cdr:cNvSpPr>
      </cdr:nvSpPr>
      <cdr:spPr bwMode="auto">
        <a:xfrm xmlns:a="http://schemas.openxmlformats.org/drawingml/2006/main">
          <a:off x="1982191" y="4709653"/>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20%</a:t>
          </a:r>
        </a:p>
      </cdr:txBody>
    </cdr:sp>
  </cdr:relSizeAnchor>
  <cdr:relSizeAnchor xmlns:cdr="http://schemas.openxmlformats.org/drawingml/2006/chartDrawing">
    <cdr:from>
      <cdr:x>0.212</cdr:x>
      <cdr:y>0.80925</cdr:y>
    </cdr:from>
    <cdr:to>
      <cdr:x>0.2382</cdr:x>
      <cdr:y>0.83348</cdr:y>
    </cdr:to>
    <cdr:sp macro="" textlink="">
      <cdr:nvSpPr>
        <cdr:cNvPr id="34867" name="Text Box 51">
          <a:extLst xmlns:a="http://schemas.openxmlformats.org/drawingml/2006/main">
            <a:ext uri="{FF2B5EF4-FFF2-40B4-BE49-F238E27FC236}">
              <a16:creationId xmlns:a16="http://schemas.microsoft.com/office/drawing/2014/main" id="{B5DB47E8-7F05-4307-880D-D7A630C57A52}"/>
            </a:ext>
          </a:extLst>
        </cdr:cNvPr>
        <cdr:cNvSpPr txBox="1">
          <a:spLocks xmlns:a="http://schemas.openxmlformats.org/drawingml/2006/main" noChangeArrowheads="1"/>
        </cdr:cNvSpPr>
      </cdr:nvSpPr>
      <cdr:spPr bwMode="auto">
        <a:xfrm xmlns:a="http://schemas.openxmlformats.org/drawingml/2006/main">
          <a:off x="1811312" y="4709653"/>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30%</a:t>
          </a:r>
        </a:p>
      </cdr:txBody>
    </cdr:sp>
  </cdr:relSizeAnchor>
  <cdr:relSizeAnchor xmlns:cdr="http://schemas.openxmlformats.org/drawingml/2006/chartDrawing">
    <cdr:from>
      <cdr:x>0.19125</cdr:x>
      <cdr:y>0.80925</cdr:y>
    </cdr:from>
    <cdr:to>
      <cdr:x>0.21745</cdr:x>
      <cdr:y>0.83348</cdr:y>
    </cdr:to>
    <cdr:sp macro="" textlink="">
      <cdr:nvSpPr>
        <cdr:cNvPr id="34868" name="Text Box 52">
          <a:extLst xmlns:a="http://schemas.openxmlformats.org/drawingml/2006/main">
            <a:ext uri="{FF2B5EF4-FFF2-40B4-BE49-F238E27FC236}">
              <a16:creationId xmlns:a16="http://schemas.microsoft.com/office/drawing/2014/main" id="{D28E8720-8AFF-4F69-B3FF-573F2AD9D6A9}"/>
            </a:ext>
          </a:extLst>
        </cdr:cNvPr>
        <cdr:cNvSpPr txBox="1">
          <a:spLocks xmlns:a="http://schemas.openxmlformats.org/drawingml/2006/main" noChangeArrowheads="1"/>
        </cdr:cNvSpPr>
      </cdr:nvSpPr>
      <cdr:spPr bwMode="auto">
        <a:xfrm xmlns:a="http://schemas.openxmlformats.org/drawingml/2006/main">
          <a:off x="1634026" y="4709653"/>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40%</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546523" cy="581025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0.09125</cdr:x>
      <cdr:y>0.70375</cdr:y>
    </cdr:from>
    <cdr:to>
      <cdr:x>0.174</cdr:x>
      <cdr:y>0.808</cdr:y>
    </cdr:to>
    <cdr:sp macro="" textlink="">
      <cdr:nvSpPr>
        <cdr:cNvPr id="3224" name="Text Box 8">
          <a:extLst xmlns:a="http://schemas.openxmlformats.org/drawingml/2006/main">
            <a:ext uri="{FF2B5EF4-FFF2-40B4-BE49-F238E27FC236}">
              <a16:creationId xmlns:a16="http://schemas.microsoft.com/office/drawing/2014/main" id="{1677DD69-EB46-4C8A-B331-95516EC9C71D}"/>
            </a:ext>
          </a:extLst>
        </cdr:cNvPr>
        <cdr:cNvSpPr txBox="1">
          <a:spLocks xmlns:a="http://schemas.openxmlformats.org/drawingml/2006/main" noChangeArrowheads="1"/>
        </cdr:cNvSpPr>
      </cdr:nvSpPr>
      <cdr:spPr bwMode="auto">
        <a:xfrm xmlns:a="http://schemas.openxmlformats.org/drawingml/2006/main">
          <a:off x="779633" y="4095667"/>
          <a:ext cx="707010" cy="6067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 Not Warranted</a:t>
          </a:r>
        </a:p>
      </cdr:txBody>
    </cdr:sp>
  </cdr:relSizeAnchor>
  <cdr:relSizeAnchor xmlns:cdr="http://schemas.openxmlformats.org/drawingml/2006/chartDrawing">
    <cdr:from>
      <cdr:x>0.48725</cdr:x>
      <cdr:y>0.3805</cdr:y>
    </cdr:from>
    <cdr:to>
      <cdr:x>0.5985</cdr:x>
      <cdr:y>0.44625</cdr:y>
    </cdr:to>
    <cdr:sp macro="" textlink="">
      <cdr:nvSpPr>
        <cdr:cNvPr id="3225" name="Text Box 9">
          <a:extLst xmlns:a="http://schemas.openxmlformats.org/drawingml/2006/main">
            <a:ext uri="{FF2B5EF4-FFF2-40B4-BE49-F238E27FC236}">
              <a16:creationId xmlns:a16="http://schemas.microsoft.com/office/drawing/2014/main" id="{7B192580-3DC3-4B5F-BE29-B84FD38C81DA}"/>
            </a:ext>
          </a:extLst>
        </cdr:cNvPr>
        <cdr:cNvSpPr txBox="1">
          <a:spLocks xmlns:a="http://schemas.openxmlformats.org/drawingml/2006/main" noChangeArrowheads="1"/>
        </cdr:cNvSpPr>
      </cdr:nvSpPr>
      <cdr:spPr bwMode="auto">
        <a:xfrm xmlns:a="http://schemas.openxmlformats.org/drawingml/2006/main">
          <a:off x="4163027" y="2214424"/>
          <a:ext cx="950512" cy="382651"/>
        </a:xfrm>
        <a:prstGeom xmlns:a="http://schemas.openxmlformats.org/drawingml/2006/main" prst="rect">
          <a:avLst/>
        </a:prstGeom>
        <a:noFill xmlns:a="http://schemas.openxmlformats.org/drawingml/2006/main"/>
        <a:ln xmlns:a="http://schemas.openxmlformats.org/drawingml/2006/main" w="9525" algn="ctr">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Left Turn Lane</a:t>
          </a:r>
        </a:p>
        <a:p xmlns:a="http://schemas.openxmlformats.org/drawingml/2006/main">
          <a:pPr algn="ctr" rtl="0">
            <a:defRPr sz="1000"/>
          </a:pPr>
          <a:r>
            <a:rPr lang="en-US" sz="1000" b="1" i="0" u="none" strike="noStrike" baseline="0">
              <a:solidFill>
                <a:srgbClr val="000000"/>
              </a:solidFill>
              <a:latin typeface="Arial"/>
              <a:cs typeface="Arial"/>
            </a:rPr>
            <a:t>Warranted</a:t>
          </a:r>
        </a:p>
      </cdr:txBody>
    </cdr:sp>
  </cdr:relSizeAnchor>
  <cdr:relSizeAnchor xmlns:cdr="http://schemas.openxmlformats.org/drawingml/2006/chartDrawing">
    <cdr:from>
      <cdr:x>0.767</cdr:x>
      <cdr:y>0.82775</cdr:y>
    </cdr:from>
    <cdr:to>
      <cdr:x>0.78652</cdr:x>
      <cdr:y>0.85198</cdr:y>
    </cdr:to>
    <cdr:sp macro="" textlink="">
      <cdr:nvSpPr>
        <cdr:cNvPr id="3226" name="Text Box 154">
          <a:extLst xmlns:a="http://schemas.openxmlformats.org/drawingml/2006/main">
            <a:ext uri="{FF2B5EF4-FFF2-40B4-BE49-F238E27FC236}">
              <a16:creationId xmlns:a16="http://schemas.microsoft.com/office/drawing/2014/main" id="{B83133AF-47F7-4C96-8428-63793CFA2A90}"/>
            </a:ext>
          </a:extLst>
        </cdr:cNvPr>
        <cdr:cNvSpPr txBox="1">
          <a:spLocks xmlns:a="http://schemas.openxmlformats.org/drawingml/2006/main" noChangeArrowheads="1"/>
        </cdr:cNvSpPr>
      </cdr:nvSpPr>
      <cdr:spPr bwMode="auto">
        <a:xfrm xmlns:a="http://schemas.openxmlformats.org/drawingml/2006/main">
          <a:off x="6553190" y="481731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a:t>
          </a:r>
        </a:p>
      </cdr:txBody>
    </cdr:sp>
  </cdr:relSizeAnchor>
  <cdr:relSizeAnchor xmlns:cdr="http://schemas.openxmlformats.org/drawingml/2006/chartDrawing">
    <cdr:from>
      <cdr:x>0.5665</cdr:x>
      <cdr:y>0.82775</cdr:y>
    </cdr:from>
    <cdr:to>
      <cdr:x>0.58602</cdr:x>
      <cdr:y>0.85198</cdr:y>
    </cdr:to>
    <cdr:sp macro="" textlink="">
      <cdr:nvSpPr>
        <cdr:cNvPr id="3227" name="Text Box 155">
          <a:extLst xmlns:a="http://schemas.openxmlformats.org/drawingml/2006/main">
            <a:ext uri="{FF2B5EF4-FFF2-40B4-BE49-F238E27FC236}">
              <a16:creationId xmlns:a16="http://schemas.microsoft.com/office/drawing/2014/main" id="{660EDDB7-8FA7-4A47-8133-01BDCB763ECC}"/>
            </a:ext>
          </a:extLst>
        </cdr:cNvPr>
        <cdr:cNvSpPr txBox="1">
          <a:spLocks xmlns:a="http://schemas.openxmlformats.org/drawingml/2006/main" noChangeArrowheads="1"/>
        </cdr:cNvSpPr>
      </cdr:nvSpPr>
      <cdr:spPr bwMode="auto">
        <a:xfrm xmlns:a="http://schemas.openxmlformats.org/drawingml/2006/main">
          <a:off x="4840134" y="481731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a:t>
          </a:r>
        </a:p>
      </cdr:txBody>
    </cdr:sp>
  </cdr:relSizeAnchor>
  <cdr:relSizeAnchor xmlns:cdr="http://schemas.openxmlformats.org/drawingml/2006/chartDrawing">
    <cdr:from>
      <cdr:x>0.4795</cdr:x>
      <cdr:y>0.82775</cdr:y>
    </cdr:from>
    <cdr:to>
      <cdr:x>0.49902</cdr:x>
      <cdr:y>0.85198</cdr:y>
    </cdr:to>
    <cdr:sp macro="" textlink="">
      <cdr:nvSpPr>
        <cdr:cNvPr id="3228" name="Text Box 156">
          <a:extLst xmlns:a="http://schemas.openxmlformats.org/drawingml/2006/main">
            <a:ext uri="{FF2B5EF4-FFF2-40B4-BE49-F238E27FC236}">
              <a16:creationId xmlns:a16="http://schemas.microsoft.com/office/drawing/2014/main" id="{BABB83B0-F0B5-4AED-8903-893EB98F0A34}"/>
            </a:ext>
          </a:extLst>
        </cdr:cNvPr>
        <cdr:cNvSpPr txBox="1">
          <a:spLocks xmlns:a="http://schemas.openxmlformats.org/drawingml/2006/main" noChangeArrowheads="1"/>
        </cdr:cNvSpPr>
      </cdr:nvSpPr>
      <cdr:spPr bwMode="auto">
        <a:xfrm xmlns:a="http://schemas.openxmlformats.org/drawingml/2006/main">
          <a:off x="4096812" y="481731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a:t>
          </a:r>
        </a:p>
      </cdr:txBody>
    </cdr:sp>
  </cdr:relSizeAnchor>
  <cdr:relSizeAnchor xmlns:cdr="http://schemas.openxmlformats.org/drawingml/2006/chartDrawing">
    <cdr:from>
      <cdr:x>0.428</cdr:x>
      <cdr:y>0.82775</cdr:y>
    </cdr:from>
    <cdr:to>
      <cdr:x>0.44752</cdr:x>
      <cdr:y>0.85198</cdr:y>
    </cdr:to>
    <cdr:sp macro="" textlink="">
      <cdr:nvSpPr>
        <cdr:cNvPr id="3229" name="Text Box 157">
          <a:extLst xmlns:a="http://schemas.openxmlformats.org/drawingml/2006/main">
            <a:ext uri="{FF2B5EF4-FFF2-40B4-BE49-F238E27FC236}">
              <a16:creationId xmlns:a16="http://schemas.microsoft.com/office/drawing/2014/main" id="{8A1BF15C-9966-4E70-BA35-A4263ED645A3}"/>
            </a:ext>
          </a:extLst>
        </cdr:cNvPr>
        <cdr:cNvSpPr txBox="1">
          <a:spLocks xmlns:a="http://schemas.openxmlformats.org/drawingml/2006/main" noChangeArrowheads="1"/>
        </cdr:cNvSpPr>
      </cdr:nvSpPr>
      <cdr:spPr bwMode="auto">
        <a:xfrm xmlns:a="http://schemas.openxmlformats.org/drawingml/2006/main">
          <a:off x="3656800" y="481731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a:t>
          </a:r>
        </a:p>
      </cdr:txBody>
    </cdr:sp>
  </cdr:relSizeAnchor>
  <cdr:relSizeAnchor xmlns:cdr="http://schemas.openxmlformats.org/drawingml/2006/chartDrawing">
    <cdr:from>
      <cdr:x>0.38875</cdr:x>
      <cdr:y>0.82775</cdr:y>
    </cdr:from>
    <cdr:to>
      <cdr:x>0.40827</cdr:x>
      <cdr:y>0.85198</cdr:y>
    </cdr:to>
    <cdr:sp macro="" textlink="">
      <cdr:nvSpPr>
        <cdr:cNvPr id="3230" name="Text Box 158">
          <a:extLst xmlns:a="http://schemas.openxmlformats.org/drawingml/2006/main">
            <a:ext uri="{FF2B5EF4-FFF2-40B4-BE49-F238E27FC236}">
              <a16:creationId xmlns:a16="http://schemas.microsoft.com/office/drawing/2014/main" id="{130676D6-1045-40DA-BD94-C0EA825C4327}"/>
            </a:ext>
          </a:extLst>
        </cdr:cNvPr>
        <cdr:cNvSpPr txBox="1">
          <a:spLocks xmlns:a="http://schemas.openxmlformats.org/drawingml/2006/main" noChangeArrowheads="1"/>
        </cdr:cNvSpPr>
      </cdr:nvSpPr>
      <cdr:spPr bwMode="auto">
        <a:xfrm xmlns:a="http://schemas.openxmlformats.org/drawingml/2006/main">
          <a:off x="3321451" y="4817319"/>
          <a:ext cx="166777"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5%</a:t>
          </a:r>
        </a:p>
      </cdr:txBody>
    </cdr:sp>
  </cdr:relSizeAnchor>
  <cdr:relSizeAnchor xmlns:cdr="http://schemas.openxmlformats.org/drawingml/2006/chartDrawing">
    <cdr:from>
      <cdr:x>0.30325</cdr:x>
      <cdr:y>0.82775</cdr:y>
    </cdr:from>
    <cdr:to>
      <cdr:x>0.32945</cdr:x>
      <cdr:y>0.85198</cdr:y>
    </cdr:to>
    <cdr:sp macro="" textlink="">
      <cdr:nvSpPr>
        <cdr:cNvPr id="3231" name="Text Box 159">
          <a:extLst xmlns:a="http://schemas.openxmlformats.org/drawingml/2006/main">
            <a:ext uri="{FF2B5EF4-FFF2-40B4-BE49-F238E27FC236}">
              <a16:creationId xmlns:a16="http://schemas.microsoft.com/office/drawing/2014/main" id="{5615FF43-84B9-4484-9C06-E77E52974DD2}"/>
            </a:ext>
          </a:extLst>
        </cdr:cNvPr>
        <cdr:cNvSpPr txBox="1">
          <a:spLocks xmlns:a="http://schemas.openxmlformats.org/drawingml/2006/main" noChangeArrowheads="1"/>
        </cdr:cNvSpPr>
      </cdr:nvSpPr>
      <cdr:spPr bwMode="auto">
        <a:xfrm xmlns:a="http://schemas.openxmlformats.org/drawingml/2006/main">
          <a:off x="2590945" y="481731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10%</a:t>
          </a:r>
        </a:p>
      </cdr:txBody>
    </cdr:sp>
  </cdr:relSizeAnchor>
  <cdr:relSizeAnchor xmlns:cdr="http://schemas.openxmlformats.org/drawingml/2006/chartDrawing">
    <cdr:from>
      <cdr:x>0.26325</cdr:x>
      <cdr:y>0.82775</cdr:y>
    </cdr:from>
    <cdr:to>
      <cdr:x>0.28945</cdr:x>
      <cdr:y>0.85198</cdr:y>
    </cdr:to>
    <cdr:sp macro="" textlink="">
      <cdr:nvSpPr>
        <cdr:cNvPr id="3232" name="Text Box 160">
          <a:extLst xmlns:a="http://schemas.openxmlformats.org/drawingml/2006/main">
            <a:ext uri="{FF2B5EF4-FFF2-40B4-BE49-F238E27FC236}">
              <a16:creationId xmlns:a16="http://schemas.microsoft.com/office/drawing/2014/main" id="{8B8A304C-186D-434B-A0F5-87C1C6EE26B8}"/>
            </a:ext>
          </a:extLst>
        </cdr:cNvPr>
        <cdr:cNvSpPr txBox="1">
          <a:spLocks xmlns:a="http://schemas.openxmlformats.org/drawingml/2006/main" noChangeArrowheads="1"/>
        </cdr:cNvSpPr>
      </cdr:nvSpPr>
      <cdr:spPr bwMode="auto">
        <a:xfrm xmlns:a="http://schemas.openxmlformats.org/drawingml/2006/main">
          <a:off x="2249188" y="481731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15%</a:t>
          </a:r>
        </a:p>
      </cdr:txBody>
    </cdr:sp>
  </cdr:relSizeAnchor>
  <cdr:relSizeAnchor xmlns:cdr="http://schemas.openxmlformats.org/drawingml/2006/chartDrawing">
    <cdr:from>
      <cdr:x>0.246</cdr:x>
      <cdr:y>0.82775</cdr:y>
    </cdr:from>
    <cdr:to>
      <cdr:x>0.2722</cdr:x>
      <cdr:y>0.85198</cdr:y>
    </cdr:to>
    <cdr:sp macro="" textlink="">
      <cdr:nvSpPr>
        <cdr:cNvPr id="3233" name="Text Box 161">
          <a:extLst xmlns:a="http://schemas.openxmlformats.org/drawingml/2006/main">
            <a:ext uri="{FF2B5EF4-FFF2-40B4-BE49-F238E27FC236}">
              <a16:creationId xmlns:a16="http://schemas.microsoft.com/office/drawing/2014/main" id="{1D7522CF-6E42-443A-9D6A-3CE5EC3B4613}"/>
            </a:ext>
          </a:extLst>
        </cdr:cNvPr>
        <cdr:cNvSpPr txBox="1">
          <a:spLocks xmlns:a="http://schemas.openxmlformats.org/drawingml/2006/main" noChangeArrowheads="1"/>
        </cdr:cNvSpPr>
      </cdr:nvSpPr>
      <cdr:spPr bwMode="auto">
        <a:xfrm xmlns:a="http://schemas.openxmlformats.org/drawingml/2006/main">
          <a:off x="2101806" y="481731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20%</a:t>
          </a:r>
        </a:p>
      </cdr:txBody>
    </cdr:sp>
  </cdr:relSizeAnchor>
  <cdr:relSizeAnchor xmlns:cdr="http://schemas.openxmlformats.org/drawingml/2006/chartDrawing">
    <cdr:from>
      <cdr:x>0.224</cdr:x>
      <cdr:y>0.82775</cdr:y>
    </cdr:from>
    <cdr:to>
      <cdr:x>0.2502</cdr:x>
      <cdr:y>0.85198</cdr:y>
    </cdr:to>
    <cdr:sp macro="" textlink="">
      <cdr:nvSpPr>
        <cdr:cNvPr id="3234" name="Text Box 162">
          <a:extLst xmlns:a="http://schemas.openxmlformats.org/drawingml/2006/main">
            <a:ext uri="{FF2B5EF4-FFF2-40B4-BE49-F238E27FC236}">
              <a16:creationId xmlns:a16="http://schemas.microsoft.com/office/drawing/2014/main" id="{6927B42B-3E62-405B-86CF-C134F58D6A19}"/>
            </a:ext>
          </a:extLst>
        </cdr:cNvPr>
        <cdr:cNvSpPr txBox="1">
          <a:spLocks xmlns:a="http://schemas.openxmlformats.org/drawingml/2006/main" noChangeArrowheads="1"/>
        </cdr:cNvSpPr>
      </cdr:nvSpPr>
      <cdr:spPr bwMode="auto">
        <a:xfrm xmlns:a="http://schemas.openxmlformats.org/drawingml/2006/main">
          <a:off x="1913839" y="481731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30%</a:t>
          </a:r>
        </a:p>
      </cdr:txBody>
    </cdr:sp>
  </cdr:relSizeAnchor>
  <cdr:relSizeAnchor xmlns:cdr="http://schemas.openxmlformats.org/drawingml/2006/chartDrawing">
    <cdr:from>
      <cdr:x>0.20325</cdr:x>
      <cdr:y>0.82775</cdr:y>
    </cdr:from>
    <cdr:to>
      <cdr:x>0.22945</cdr:x>
      <cdr:y>0.85198</cdr:y>
    </cdr:to>
    <cdr:sp macro="" textlink="">
      <cdr:nvSpPr>
        <cdr:cNvPr id="3235" name="Text Box 163">
          <a:extLst xmlns:a="http://schemas.openxmlformats.org/drawingml/2006/main">
            <a:ext uri="{FF2B5EF4-FFF2-40B4-BE49-F238E27FC236}">
              <a16:creationId xmlns:a16="http://schemas.microsoft.com/office/drawing/2014/main" id="{C5D1DD4C-F793-4CE7-B2E5-5D7294885A0E}"/>
            </a:ext>
          </a:extLst>
        </cdr:cNvPr>
        <cdr:cNvSpPr txBox="1">
          <a:spLocks xmlns:a="http://schemas.openxmlformats.org/drawingml/2006/main" noChangeArrowheads="1"/>
        </cdr:cNvSpPr>
      </cdr:nvSpPr>
      <cdr:spPr bwMode="auto">
        <a:xfrm xmlns:a="http://schemas.openxmlformats.org/drawingml/2006/main">
          <a:off x="1736553" y="4817319"/>
          <a:ext cx="223844" cy="14100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40%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bakerintl-my.sharepoint.com/O2007Temp/Examp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Input&amp;Findings"/>
      <sheetName val="Vehicle"/>
      <sheetName val="Pedestrian"/>
      <sheetName val="W&amp;L Examples"/>
      <sheetName val="Example"/>
    </sheetNames>
    <sheetDataSet>
      <sheetData sheetId="0"/>
      <sheetData sheetId="1">
        <row r="66">
          <cell r="AW66">
            <v>1</v>
          </cell>
          <cell r="AX66" t="str">
            <v>Adams County</v>
          </cell>
        </row>
        <row r="67">
          <cell r="AW67">
            <v>2</v>
          </cell>
          <cell r="AX67" t="str">
            <v>Allegheny County</v>
          </cell>
        </row>
        <row r="68">
          <cell r="AW68">
            <v>3</v>
          </cell>
          <cell r="AX68" t="str">
            <v>Armstrong County</v>
          </cell>
        </row>
        <row r="69">
          <cell r="AW69">
            <v>4</v>
          </cell>
          <cell r="AX69" t="str">
            <v>Beaver County</v>
          </cell>
        </row>
        <row r="70">
          <cell r="AW70">
            <v>5</v>
          </cell>
          <cell r="AX70" t="str">
            <v>Bedford County</v>
          </cell>
        </row>
        <row r="71">
          <cell r="AW71">
            <v>6</v>
          </cell>
          <cell r="AX71" t="str">
            <v>Berks County</v>
          </cell>
        </row>
        <row r="72">
          <cell r="AW72">
            <v>8</v>
          </cell>
          <cell r="AX72" t="str">
            <v>Blair County</v>
          </cell>
        </row>
        <row r="73">
          <cell r="AW73">
            <v>9</v>
          </cell>
          <cell r="AX73" t="str">
            <v>Bradford County</v>
          </cell>
        </row>
        <row r="74">
          <cell r="AW74">
            <v>10</v>
          </cell>
          <cell r="AX74" t="str">
            <v>Bucks County</v>
          </cell>
        </row>
        <row r="75">
          <cell r="AW75">
            <v>11</v>
          </cell>
          <cell r="AX75" t="str">
            <v>Butler County</v>
          </cell>
        </row>
        <row r="76">
          <cell r="AW76">
            <v>12</v>
          </cell>
          <cell r="AX76" t="str">
            <v>Cambria County</v>
          </cell>
        </row>
        <row r="77">
          <cell r="AX77" t="str">
            <v>Cameron County</v>
          </cell>
        </row>
        <row r="78">
          <cell r="AX78" t="str">
            <v>Carbon County</v>
          </cell>
        </row>
        <row r="79">
          <cell r="AX79" t="str">
            <v>Centre County</v>
          </cell>
        </row>
        <row r="80">
          <cell r="AX80" t="str">
            <v>Chester County</v>
          </cell>
        </row>
        <row r="81">
          <cell r="AX81" t="str">
            <v>Clarion County</v>
          </cell>
        </row>
        <row r="82">
          <cell r="AX82" t="str">
            <v>Clearfield County</v>
          </cell>
        </row>
        <row r="83">
          <cell r="AX83" t="str">
            <v>Clinton County</v>
          </cell>
        </row>
        <row r="84">
          <cell r="AX84" t="str">
            <v>Columbia County</v>
          </cell>
        </row>
        <row r="85">
          <cell r="AX85" t="str">
            <v>Crawford County</v>
          </cell>
        </row>
        <row r="86">
          <cell r="AX86" t="str">
            <v>Cumberland County</v>
          </cell>
        </row>
        <row r="87">
          <cell r="AX87" t="str">
            <v>Dauphin County</v>
          </cell>
        </row>
        <row r="88">
          <cell r="AX88" t="str">
            <v>Delaware County</v>
          </cell>
        </row>
        <row r="89">
          <cell r="AX89" t="str">
            <v>Elk County</v>
          </cell>
        </row>
        <row r="90">
          <cell r="AX90" t="str">
            <v>Erie County</v>
          </cell>
        </row>
        <row r="91">
          <cell r="AX91" t="str">
            <v>Fayette County</v>
          </cell>
        </row>
        <row r="92">
          <cell r="AX92" t="str">
            <v>Forest County</v>
          </cell>
        </row>
        <row r="93">
          <cell r="AX93" t="str">
            <v>Franklin County</v>
          </cell>
        </row>
        <row r="94">
          <cell r="AX94" t="str">
            <v>Fulton County</v>
          </cell>
        </row>
        <row r="95">
          <cell r="AX95" t="str">
            <v>Greene County</v>
          </cell>
        </row>
        <row r="96">
          <cell r="AX96" t="str">
            <v>Huntingdon County</v>
          </cell>
        </row>
        <row r="97">
          <cell r="AX97" t="str">
            <v>Indiana County</v>
          </cell>
        </row>
        <row r="98">
          <cell r="AX98" t="str">
            <v>Jefferson County</v>
          </cell>
        </row>
        <row r="99">
          <cell r="AX99" t="str">
            <v>Juniata County</v>
          </cell>
        </row>
        <row r="100">
          <cell r="AX100" t="str">
            <v>Lackawanna County</v>
          </cell>
        </row>
        <row r="101">
          <cell r="AX101" t="str">
            <v>Lancaster County</v>
          </cell>
        </row>
        <row r="102">
          <cell r="AX102" t="str">
            <v>Lawrence County</v>
          </cell>
        </row>
        <row r="103">
          <cell r="AX103" t="str">
            <v>Lebanon County</v>
          </cell>
        </row>
        <row r="104">
          <cell r="AX104" t="str">
            <v>Lehigh County</v>
          </cell>
        </row>
        <row r="105">
          <cell r="AX105" t="str">
            <v>Luzerne County</v>
          </cell>
        </row>
        <row r="106">
          <cell r="AX106" t="str">
            <v>Lycoming County</v>
          </cell>
        </row>
        <row r="107">
          <cell r="AX107" t="str">
            <v>McKean County</v>
          </cell>
        </row>
        <row r="108">
          <cell r="AX108" t="str">
            <v>Mercer County</v>
          </cell>
        </row>
        <row r="109">
          <cell r="AX109" t="str">
            <v>Mifflin County</v>
          </cell>
        </row>
        <row r="110">
          <cell r="AX110" t="str">
            <v>Monroe County</v>
          </cell>
        </row>
        <row r="111">
          <cell r="AX111" t="str">
            <v>Montgomery County</v>
          </cell>
        </row>
        <row r="112">
          <cell r="AX112" t="str">
            <v>Montour County</v>
          </cell>
        </row>
        <row r="113">
          <cell r="AX113" t="str">
            <v>Northampton County</v>
          </cell>
        </row>
        <row r="114">
          <cell r="AX114" t="str">
            <v>Northumberland County</v>
          </cell>
        </row>
        <row r="115">
          <cell r="AX115" t="str">
            <v>Perry County</v>
          </cell>
        </row>
        <row r="116">
          <cell r="AX116" t="str">
            <v>Philadelphia County</v>
          </cell>
        </row>
        <row r="117">
          <cell r="AX117" t="str">
            <v>Pike County</v>
          </cell>
        </row>
        <row r="118">
          <cell r="AX118" t="str">
            <v>Potter County</v>
          </cell>
        </row>
        <row r="119">
          <cell r="AX119" t="str">
            <v>Schuylkill County</v>
          </cell>
        </row>
        <row r="120">
          <cell r="AX120" t="str">
            <v>Snyder County</v>
          </cell>
        </row>
        <row r="121">
          <cell r="AX121" t="str">
            <v>Somerset County</v>
          </cell>
        </row>
        <row r="122">
          <cell r="AX122" t="str">
            <v>Sullivan County</v>
          </cell>
        </row>
        <row r="123">
          <cell r="AX123" t="str">
            <v>Susquehanna County</v>
          </cell>
        </row>
        <row r="124">
          <cell r="AX124" t="str">
            <v>Tioga County</v>
          </cell>
        </row>
        <row r="125">
          <cell r="AX125" t="str">
            <v>Union County</v>
          </cell>
        </row>
        <row r="126">
          <cell r="AX126" t="str">
            <v>Venango County</v>
          </cell>
        </row>
        <row r="127">
          <cell r="AX127" t="str">
            <v>Warren County</v>
          </cell>
        </row>
        <row r="128">
          <cell r="AX128" t="str">
            <v>Washington County</v>
          </cell>
        </row>
        <row r="129">
          <cell r="AX129" t="str">
            <v>Wayne County</v>
          </cell>
        </row>
        <row r="130">
          <cell r="AX130" t="str">
            <v>Westmoreland County</v>
          </cell>
        </row>
        <row r="131">
          <cell r="AX131" t="str">
            <v>Wyoming County</v>
          </cell>
        </row>
        <row r="132">
          <cell r="AX132" t="str">
            <v>York County</v>
          </cell>
        </row>
      </sheetData>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7"/>
  <sheetViews>
    <sheetView showGridLines="0" showRowColHeaders="0" tabSelected="1" zoomScaleNormal="100" workbookViewId="0">
      <selection activeCell="C47" sqref="C47:L47"/>
    </sheetView>
  </sheetViews>
  <sheetFormatPr defaultRowHeight="12.75" x14ac:dyDescent="0.2"/>
  <cols>
    <col min="2" max="2" width="13.28515625" bestFit="1" customWidth="1"/>
  </cols>
  <sheetData>
    <row r="1" spans="1:12" ht="15" customHeight="1" x14ac:dyDescent="0.2"/>
    <row r="2" spans="1:12" ht="15" customHeight="1" x14ac:dyDescent="0.2">
      <c r="A2" s="238" t="s">
        <v>175</v>
      </c>
      <c r="B2" s="239"/>
      <c r="C2" s="239"/>
      <c r="D2" s="239"/>
      <c r="E2" s="239"/>
      <c r="F2" s="239"/>
      <c r="G2" s="239"/>
      <c r="H2" s="239"/>
      <c r="I2" s="239"/>
      <c r="J2" s="239"/>
      <c r="K2" s="239"/>
      <c r="L2" s="240"/>
    </row>
    <row r="3" spans="1:12" ht="15" customHeight="1" x14ac:dyDescent="0.2">
      <c r="A3" s="241" t="s">
        <v>360</v>
      </c>
      <c r="B3" s="241"/>
      <c r="C3" s="241"/>
      <c r="D3" s="241"/>
      <c r="E3" s="241"/>
      <c r="F3" s="241"/>
      <c r="G3" s="241"/>
      <c r="H3" s="241"/>
      <c r="I3" s="241"/>
      <c r="J3" s="241"/>
      <c r="K3" s="241"/>
      <c r="L3" s="241"/>
    </row>
    <row r="4" spans="1:12" ht="15" customHeight="1" x14ac:dyDescent="0.2">
      <c r="A4" s="242"/>
      <c r="B4" s="242"/>
      <c r="C4" s="242"/>
      <c r="D4" s="242"/>
      <c r="E4" s="242"/>
      <c r="F4" s="242"/>
      <c r="G4" s="242"/>
      <c r="H4" s="242"/>
      <c r="I4" s="242"/>
      <c r="J4" s="242"/>
      <c r="K4" s="242"/>
      <c r="L4" s="242"/>
    </row>
    <row r="5" spans="1:12" ht="15" customHeight="1" x14ac:dyDescent="0.2">
      <c r="A5" s="242"/>
      <c r="B5" s="242"/>
      <c r="C5" s="242"/>
      <c r="D5" s="242"/>
      <c r="E5" s="242"/>
      <c r="F5" s="242"/>
      <c r="G5" s="242"/>
      <c r="H5" s="242"/>
      <c r="I5" s="242"/>
      <c r="J5" s="242"/>
      <c r="K5" s="242"/>
      <c r="L5" s="242"/>
    </row>
    <row r="6" spans="1:12" ht="15" customHeight="1" x14ac:dyDescent="0.2">
      <c r="A6" s="242"/>
      <c r="B6" s="242"/>
      <c r="C6" s="242"/>
      <c r="D6" s="242"/>
      <c r="E6" s="242"/>
      <c r="F6" s="242"/>
      <c r="G6" s="242"/>
      <c r="H6" s="242"/>
      <c r="I6" s="242"/>
      <c r="J6" s="242"/>
      <c r="K6" s="242"/>
      <c r="L6" s="242"/>
    </row>
    <row r="7" spans="1:12" ht="15" customHeight="1" x14ac:dyDescent="0.2">
      <c r="A7" s="242"/>
      <c r="B7" s="242"/>
      <c r="C7" s="242"/>
      <c r="D7" s="242"/>
      <c r="E7" s="242"/>
      <c r="F7" s="242"/>
      <c r="G7" s="242"/>
      <c r="H7" s="242"/>
      <c r="I7" s="242"/>
      <c r="J7" s="242"/>
      <c r="K7" s="242"/>
      <c r="L7" s="242"/>
    </row>
    <row r="8" spans="1:12" ht="15" customHeight="1" x14ac:dyDescent="0.2">
      <c r="A8" s="242"/>
      <c r="B8" s="242"/>
      <c r="C8" s="242"/>
      <c r="D8" s="242"/>
      <c r="E8" s="242"/>
      <c r="F8" s="242"/>
      <c r="G8" s="242"/>
      <c r="H8" s="242"/>
      <c r="I8" s="242"/>
      <c r="J8" s="242"/>
      <c r="K8" s="242"/>
      <c r="L8" s="242"/>
    </row>
    <row r="9" spans="1:12" ht="15" customHeight="1" x14ac:dyDescent="0.2">
      <c r="A9" s="20"/>
      <c r="B9" s="20"/>
      <c r="C9" s="20"/>
      <c r="D9" s="20"/>
      <c r="E9" s="20"/>
      <c r="F9" s="20"/>
      <c r="G9" s="20"/>
      <c r="H9" s="20"/>
      <c r="I9" s="20"/>
    </row>
    <row r="10" spans="1:12" ht="15" customHeight="1" x14ac:dyDescent="0.2">
      <c r="A10" s="242" t="s">
        <v>359</v>
      </c>
      <c r="B10" s="242"/>
      <c r="C10" s="242"/>
      <c r="D10" s="242"/>
      <c r="E10" s="242"/>
      <c r="F10" s="242"/>
      <c r="G10" s="242"/>
      <c r="H10" s="242"/>
      <c r="I10" s="242"/>
      <c r="J10" s="242"/>
      <c r="K10" s="242"/>
      <c r="L10" s="242"/>
    </row>
    <row r="11" spans="1:12" ht="15" customHeight="1" x14ac:dyDescent="0.2">
      <c r="A11" s="242"/>
      <c r="B11" s="242"/>
      <c r="C11" s="242"/>
      <c r="D11" s="242"/>
      <c r="E11" s="242"/>
      <c r="F11" s="242"/>
      <c r="G11" s="242"/>
      <c r="H11" s="242"/>
      <c r="I11" s="242"/>
      <c r="J11" s="242"/>
      <c r="K11" s="242"/>
      <c r="L11" s="242"/>
    </row>
    <row r="12" spans="1:12" ht="15" customHeight="1" x14ac:dyDescent="0.2">
      <c r="A12" s="242"/>
      <c r="B12" s="242"/>
      <c r="C12" s="242"/>
      <c r="D12" s="242"/>
      <c r="E12" s="242"/>
      <c r="F12" s="242"/>
      <c r="G12" s="242"/>
      <c r="H12" s="242"/>
      <c r="I12" s="242"/>
      <c r="J12" s="242"/>
      <c r="K12" s="242"/>
      <c r="L12" s="242"/>
    </row>
    <row r="13" spans="1:12" ht="15" customHeight="1" x14ac:dyDescent="0.25">
      <c r="A13" s="21"/>
      <c r="B13" s="22"/>
      <c r="C13" s="23"/>
      <c r="D13" s="23"/>
      <c r="E13" s="23"/>
      <c r="F13" s="23"/>
      <c r="G13" s="23"/>
      <c r="H13" s="24"/>
      <c r="I13" s="25"/>
    </row>
    <row r="14" spans="1:12" ht="15" customHeight="1" x14ac:dyDescent="0.2">
      <c r="A14" s="238" t="s">
        <v>176</v>
      </c>
      <c r="B14" s="239"/>
      <c r="C14" s="239"/>
      <c r="D14" s="239"/>
      <c r="E14" s="239"/>
      <c r="F14" s="239"/>
      <c r="G14" s="239"/>
      <c r="H14" s="239"/>
      <c r="I14" s="239"/>
      <c r="J14" s="239"/>
      <c r="K14" s="239"/>
      <c r="L14" s="240"/>
    </row>
    <row r="15" spans="1:12" ht="15" customHeight="1" x14ac:dyDescent="0.2">
      <c r="A15" s="26">
        <v>1</v>
      </c>
      <c r="B15" s="241" t="s">
        <v>329</v>
      </c>
      <c r="C15" s="241"/>
      <c r="D15" s="241"/>
      <c r="E15" s="241"/>
      <c r="F15" s="241"/>
      <c r="G15" s="241"/>
      <c r="H15" s="241"/>
      <c r="I15" s="241"/>
      <c r="J15" s="241"/>
      <c r="K15" s="241"/>
      <c r="L15" s="241"/>
    </row>
    <row r="16" spans="1:12" ht="15" customHeight="1" x14ac:dyDescent="0.2">
      <c r="A16" s="26"/>
      <c r="B16" s="242"/>
      <c r="C16" s="242"/>
      <c r="D16" s="242"/>
      <c r="E16" s="242"/>
      <c r="F16" s="242"/>
      <c r="G16" s="242"/>
      <c r="H16" s="242"/>
      <c r="I16" s="242"/>
      <c r="J16" s="242"/>
      <c r="K16" s="242"/>
      <c r="L16" s="242"/>
    </row>
    <row r="17" spans="1:12" ht="15" customHeight="1" x14ac:dyDescent="0.2">
      <c r="A17" s="26">
        <v>2</v>
      </c>
      <c r="B17" s="242" t="s">
        <v>330</v>
      </c>
      <c r="C17" s="242"/>
      <c r="D17" s="242"/>
      <c r="E17" s="242"/>
      <c r="F17" s="242"/>
      <c r="G17" s="242"/>
      <c r="H17" s="242"/>
      <c r="I17" s="242"/>
      <c r="J17" s="242"/>
      <c r="K17" s="242"/>
      <c r="L17" s="242"/>
    </row>
    <row r="18" spans="1:12" ht="15" customHeight="1" x14ac:dyDescent="0.2">
      <c r="A18" s="26"/>
      <c r="B18" s="242"/>
      <c r="C18" s="242"/>
      <c r="D18" s="242"/>
      <c r="E18" s="242"/>
      <c r="F18" s="242"/>
      <c r="G18" s="242"/>
      <c r="H18" s="242"/>
      <c r="I18" s="242"/>
      <c r="J18" s="242"/>
      <c r="K18" s="242"/>
      <c r="L18" s="242"/>
    </row>
    <row r="19" spans="1:12" ht="15" customHeight="1" x14ac:dyDescent="0.2">
      <c r="A19" s="26">
        <v>3</v>
      </c>
      <c r="B19" s="242" t="s">
        <v>353</v>
      </c>
      <c r="C19" s="242"/>
      <c r="D19" s="242"/>
      <c r="E19" s="242"/>
      <c r="F19" s="242"/>
      <c r="G19" s="242"/>
      <c r="H19" s="242"/>
      <c r="I19" s="242"/>
      <c r="J19" s="242"/>
      <c r="K19" s="242"/>
      <c r="L19" s="242"/>
    </row>
    <row r="20" spans="1:12" ht="15" customHeight="1" x14ac:dyDescent="0.2">
      <c r="A20" s="26"/>
      <c r="B20" s="242"/>
      <c r="C20" s="242"/>
      <c r="D20" s="242"/>
      <c r="E20" s="242"/>
      <c r="F20" s="242"/>
      <c r="G20" s="242"/>
      <c r="H20" s="242"/>
      <c r="I20" s="242"/>
      <c r="J20" s="242"/>
      <c r="K20" s="242"/>
      <c r="L20" s="242"/>
    </row>
    <row r="21" spans="1:12" ht="15" customHeight="1" x14ac:dyDescent="0.2">
      <c r="A21" s="26"/>
      <c r="B21" s="242"/>
      <c r="C21" s="242"/>
      <c r="D21" s="242"/>
      <c r="E21" s="242"/>
      <c r="F21" s="242"/>
      <c r="G21" s="242"/>
      <c r="H21" s="242"/>
      <c r="I21" s="242"/>
      <c r="J21" s="242"/>
      <c r="K21" s="242"/>
      <c r="L21" s="242"/>
    </row>
    <row r="22" spans="1:12" ht="15" customHeight="1" x14ac:dyDescent="0.2">
      <c r="A22" s="26">
        <v>4</v>
      </c>
      <c r="B22" s="242" t="s">
        <v>361</v>
      </c>
      <c r="C22" s="242"/>
      <c r="D22" s="242"/>
      <c r="E22" s="242"/>
      <c r="F22" s="242"/>
      <c r="G22" s="242"/>
      <c r="H22" s="242"/>
      <c r="I22" s="242"/>
      <c r="J22" s="242"/>
      <c r="K22" s="242"/>
      <c r="L22" s="242"/>
    </row>
    <row r="23" spans="1:12" ht="15" customHeight="1" x14ac:dyDescent="0.2">
      <c r="A23" s="26"/>
      <c r="B23" s="242"/>
      <c r="C23" s="242"/>
      <c r="D23" s="242"/>
      <c r="E23" s="242"/>
      <c r="F23" s="242"/>
      <c r="G23" s="242"/>
      <c r="H23" s="242"/>
      <c r="I23" s="242"/>
      <c r="J23" s="242"/>
      <c r="K23" s="242"/>
      <c r="L23" s="242"/>
    </row>
    <row r="24" spans="1:12" ht="15" customHeight="1" x14ac:dyDescent="0.25">
      <c r="A24" s="21"/>
      <c r="B24" s="27"/>
      <c r="C24" s="24"/>
      <c r="D24" s="24"/>
      <c r="E24" s="24"/>
      <c r="F24" s="24"/>
      <c r="G24" s="24"/>
      <c r="H24" s="24"/>
      <c r="I24" s="25"/>
    </row>
    <row r="25" spans="1:12" ht="15" customHeight="1" x14ac:dyDescent="0.2">
      <c r="A25" s="238" t="s">
        <v>177</v>
      </c>
      <c r="B25" s="239"/>
      <c r="C25" s="239"/>
      <c r="D25" s="239"/>
      <c r="E25" s="239"/>
      <c r="F25" s="239"/>
      <c r="G25" s="239"/>
      <c r="H25" s="239"/>
      <c r="I25" s="239"/>
      <c r="J25" s="239"/>
      <c r="K25" s="239"/>
      <c r="L25" s="240"/>
    </row>
    <row r="26" spans="1:12" ht="15" customHeight="1" x14ac:dyDescent="0.2">
      <c r="A26" s="26">
        <v>1</v>
      </c>
      <c r="B26" s="241" t="s">
        <v>328</v>
      </c>
      <c r="C26" s="241"/>
      <c r="D26" s="241"/>
      <c r="E26" s="241"/>
      <c r="F26" s="241"/>
      <c r="G26" s="241"/>
      <c r="H26" s="241"/>
      <c r="I26" s="241"/>
      <c r="J26" s="241"/>
      <c r="K26" s="241"/>
      <c r="L26" s="241"/>
    </row>
    <row r="27" spans="1:12" ht="15" customHeight="1" x14ac:dyDescent="0.2">
      <c r="A27" s="26"/>
      <c r="B27" s="242"/>
      <c r="C27" s="242"/>
      <c r="D27" s="242"/>
      <c r="E27" s="242"/>
      <c r="F27" s="242"/>
      <c r="G27" s="242"/>
      <c r="H27" s="242"/>
      <c r="I27" s="242"/>
      <c r="J27" s="242"/>
      <c r="K27" s="242"/>
      <c r="L27" s="242"/>
    </row>
    <row r="28" spans="1:12" ht="15" customHeight="1" x14ac:dyDescent="0.2">
      <c r="A28" s="26">
        <v>2</v>
      </c>
      <c r="B28" s="242" t="s">
        <v>178</v>
      </c>
      <c r="C28" s="242"/>
      <c r="D28" s="242"/>
      <c r="E28" s="242"/>
      <c r="F28" s="242"/>
      <c r="G28" s="242"/>
      <c r="H28" s="242"/>
      <c r="I28" s="242"/>
      <c r="J28" s="242"/>
      <c r="K28" s="242"/>
      <c r="L28" s="242"/>
    </row>
    <row r="29" spans="1:12" ht="15" customHeight="1" x14ac:dyDescent="0.2">
      <c r="A29" s="26"/>
      <c r="B29" s="242"/>
      <c r="C29" s="242"/>
      <c r="D29" s="242"/>
      <c r="E29" s="242"/>
      <c r="F29" s="242"/>
      <c r="G29" s="242"/>
      <c r="H29" s="242"/>
      <c r="I29" s="242"/>
      <c r="J29" s="242"/>
      <c r="K29" s="242"/>
      <c r="L29" s="242"/>
    </row>
    <row r="30" spans="1:12" ht="15" customHeight="1" x14ac:dyDescent="0.2">
      <c r="A30" s="26"/>
      <c r="B30" s="242"/>
      <c r="C30" s="242"/>
      <c r="D30" s="242"/>
      <c r="E30" s="242"/>
      <c r="F30" s="242"/>
      <c r="G30" s="242"/>
      <c r="H30" s="242"/>
      <c r="I30" s="242"/>
      <c r="J30" s="242"/>
      <c r="K30" s="242"/>
      <c r="L30" s="242"/>
    </row>
    <row r="31" spans="1:12" ht="15" customHeight="1" x14ac:dyDescent="0.2">
      <c r="A31" s="26">
        <v>3</v>
      </c>
      <c r="B31" s="242" t="s">
        <v>331</v>
      </c>
      <c r="C31" s="242"/>
      <c r="D31" s="242"/>
      <c r="E31" s="242"/>
      <c r="F31" s="242"/>
      <c r="G31" s="242"/>
      <c r="H31" s="242"/>
      <c r="I31" s="242"/>
      <c r="J31" s="242"/>
      <c r="K31" s="242"/>
      <c r="L31" s="242"/>
    </row>
    <row r="32" spans="1:12" ht="15" customHeight="1" x14ac:dyDescent="0.2">
      <c r="A32" s="26"/>
      <c r="B32" s="242"/>
      <c r="C32" s="242"/>
      <c r="D32" s="242"/>
      <c r="E32" s="242"/>
      <c r="F32" s="242"/>
      <c r="G32" s="242"/>
      <c r="H32" s="242"/>
      <c r="I32" s="242"/>
      <c r="J32" s="242"/>
      <c r="K32" s="242"/>
      <c r="L32" s="242"/>
    </row>
    <row r="33" spans="1:12" ht="15" customHeight="1" x14ac:dyDescent="0.2">
      <c r="A33" s="26"/>
      <c r="B33" s="242"/>
      <c r="C33" s="242"/>
      <c r="D33" s="242"/>
      <c r="E33" s="242"/>
      <c r="F33" s="242"/>
      <c r="G33" s="242"/>
      <c r="H33" s="242"/>
      <c r="I33" s="242"/>
      <c r="J33" s="242"/>
      <c r="K33" s="242"/>
      <c r="L33" s="242"/>
    </row>
    <row r="34" spans="1:12" ht="15" customHeight="1" x14ac:dyDescent="0.2">
      <c r="A34" s="26">
        <v>4</v>
      </c>
      <c r="B34" s="242" t="s">
        <v>354</v>
      </c>
      <c r="C34" s="242"/>
      <c r="D34" s="242"/>
      <c r="E34" s="242"/>
      <c r="F34" s="242"/>
      <c r="G34" s="242"/>
      <c r="H34" s="242"/>
      <c r="I34" s="242"/>
      <c r="J34" s="242"/>
      <c r="K34" s="242"/>
      <c r="L34" s="242"/>
    </row>
    <row r="35" spans="1:12" ht="15" customHeight="1" x14ac:dyDescent="0.2">
      <c r="A35" s="26"/>
      <c r="B35" s="242"/>
      <c r="C35" s="242"/>
      <c r="D35" s="242"/>
      <c r="E35" s="242"/>
      <c r="F35" s="242"/>
      <c r="G35" s="242"/>
      <c r="H35" s="242"/>
      <c r="I35" s="242"/>
      <c r="J35" s="242"/>
      <c r="K35" s="242"/>
      <c r="L35" s="242"/>
    </row>
    <row r="36" spans="1:12" ht="15" customHeight="1" x14ac:dyDescent="0.2">
      <c r="A36" s="26"/>
      <c r="B36" s="242"/>
      <c r="C36" s="242"/>
      <c r="D36" s="242"/>
      <c r="E36" s="242"/>
      <c r="F36" s="242"/>
      <c r="G36" s="242"/>
      <c r="H36" s="242"/>
      <c r="I36" s="242"/>
      <c r="J36" s="242"/>
      <c r="K36" s="242"/>
      <c r="L36" s="242"/>
    </row>
    <row r="37" spans="1:12" ht="15" customHeight="1" x14ac:dyDescent="0.2">
      <c r="A37" s="26"/>
      <c r="B37" s="242"/>
      <c r="C37" s="242"/>
      <c r="D37" s="242"/>
      <c r="E37" s="242"/>
      <c r="F37" s="242"/>
      <c r="G37" s="242"/>
      <c r="H37" s="242"/>
      <c r="I37" s="242"/>
      <c r="J37" s="242"/>
      <c r="K37" s="242"/>
      <c r="L37" s="242"/>
    </row>
    <row r="38" spans="1:12" ht="15" customHeight="1" x14ac:dyDescent="0.2">
      <c r="A38" s="26">
        <v>5</v>
      </c>
      <c r="B38" s="242" t="s">
        <v>362</v>
      </c>
      <c r="C38" s="242"/>
      <c r="D38" s="242"/>
      <c r="E38" s="242"/>
      <c r="F38" s="242"/>
      <c r="G38" s="242"/>
      <c r="H38" s="242"/>
      <c r="I38" s="242"/>
      <c r="J38" s="242"/>
      <c r="K38" s="242"/>
      <c r="L38" s="242"/>
    </row>
    <row r="39" spans="1:12" ht="15" customHeight="1" x14ac:dyDescent="0.2">
      <c r="A39" s="26"/>
      <c r="B39" s="242"/>
      <c r="C39" s="242"/>
      <c r="D39" s="242"/>
      <c r="E39" s="242"/>
      <c r="F39" s="242"/>
      <c r="G39" s="242"/>
      <c r="H39" s="242"/>
      <c r="I39" s="242"/>
      <c r="J39" s="242"/>
      <c r="K39" s="242"/>
      <c r="L39" s="242"/>
    </row>
    <row r="40" spans="1:12" ht="15" customHeight="1" x14ac:dyDescent="0.25">
      <c r="A40" s="28"/>
      <c r="B40" s="29"/>
      <c r="C40" s="30"/>
      <c r="D40" s="31"/>
      <c r="E40" s="31"/>
      <c r="F40" s="31"/>
      <c r="G40" s="31"/>
      <c r="H40" s="32"/>
      <c r="I40" s="25"/>
    </row>
    <row r="41" spans="1:12" ht="15" customHeight="1" x14ac:dyDescent="0.2">
      <c r="A41" s="33" t="s">
        <v>179</v>
      </c>
      <c r="B41" s="33" t="s">
        <v>180</v>
      </c>
      <c r="C41" s="245" t="s">
        <v>181</v>
      </c>
      <c r="D41" s="245"/>
      <c r="E41" s="245"/>
      <c r="F41" s="245"/>
      <c r="G41" s="245"/>
      <c r="H41" s="245"/>
      <c r="I41" s="245"/>
      <c r="J41" s="245"/>
      <c r="K41" s="245"/>
      <c r="L41" s="245"/>
    </row>
    <row r="42" spans="1:12" ht="15" customHeight="1" x14ac:dyDescent="0.2">
      <c r="A42" s="34">
        <v>1</v>
      </c>
      <c r="B42" s="35">
        <v>41179</v>
      </c>
      <c r="C42" s="243" t="s">
        <v>182</v>
      </c>
      <c r="D42" s="243"/>
      <c r="E42" s="243"/>
      <c r="F42" s="243"/>
      <c r="G42" s="243"/>
      <c r="H42" s="243"/>
      <c r="I42" s="243"/>
      <c r="J42" s="243"/>
      <c r="K42" s="243"/>
      <c r="L42" s="243"/>
    </row>
    <row r="43" spans="1:12" ht="15" customHeight="1" x14ac:dyDescent="0.2">
      <c r="A43" s="34">
        <v>2</v>
      </c>
      <c r="B43" s="35">
        <v>41183</v>
      </c>
      <c r="C43" s="243" t="s">
        <v>356</v>
      </c>
      <c r="D43" s="243"/>
      <c r="E43" s="243"/>
      <c r="F43" s="243"/>
      <c r="G43" s="243"/>
      <c r="H43" s="243"/>
      <c r="I43" s="243"/>
      <c r="J43" s="243"/>
      <c r="K43" s="243"/>
      <c r="L43" s="243"/>
    </row>
    <row r="44" spans="1:12" ht="15" customHeight="1" x14ac:dyDescent="0.2">
      <c r="A44" s="34">
        <v>3</v>
      </c>
      <c r="B44" s="35">
        <v>41215</v>
      </c>
      <c r="C44" s="243" t="s">
        <v>355</v>
      </c>
      <c r="D44" s="243"/>
      <c r="E44" s="243"/>
      <c r="F44" s="243"/>
      <c r="G44" s="243"/>
      <c r="H44" s="243"/>
      <c r="I44" s="243"/>
      <c r="J44" s="243"/>
      <c r="K44" s="243"/>
      <c r="L44" s="243"/>
    </row>
    <row r="45" spans="1:12" ht="15" customHeight="1" x14ac:dyDescent="0.2">
      <c r="A45" s="34">
        <v>3.1</v>
      </c>
      <c r="B45" s="35">
        <v>42213</v>
      </c>
      <c r="C45" s="244" t="s">
        <v>364</v>
      </c>
      <c r="D45" s="244"/>
      <c r="E45" s="244"/>
      <c r="F45" s="244"/>
      <c r="G45" s="244"/>
      <c r="H45" s="244"/>
      <c r="I45" s="244"/>
      <c r="J45" s="244"/>
      <c r="K45" s="244"/>
      <c r="L45" s="244"/>
    </row>
    <row r="46" spans="1:12" ht="30" customHeight="1" x14ac:dyDescent="0.2">
      <c r="A46" s="34">
        <v>3.2</v>
      </c>
      <c r="B46" s="35">
        <v>42356</v>
      </c>
      <c r="C46" s="244" t="s">
        <v>365</v>
      </c>
      <c r="D46" s="244"/>
      <c r="E46" s="244"/>
      <c r="F46" s="244"/>
      <c r="G46" s="244"/>
      <c r="H46" s="244"/>
      <c r="I46" s="244"/>
      <c r="J46" s="244"/>
      <c r="K46" s="244"/>
      <c r="L46" s="244"/>
    </row>
    <row r="47" spans="1:12" ht="33" customHeight="1" x14ac:dyDescent="0.2">
      <c r="A47" s="34">
        <v>3.3</v>
      </c>
      <c r="B47" s="35">
        <v>43025</v>
      </c>
      <c r="C47" s="244" t="s">
        <v>367</v>
      </c>
      <c r="D47" s="244"/>
      <c r="E47" s="244"/>
      <c r="F47" s="244"/>
      <c r="G47" s="244"/>
      <c r="H47" s="244"/>
      <c r="I47" s="244"/>
      <c r="J47" s="244"/>
      <c r="K47" s="244"/>
      <c r="L47" s="244"/>
    </row>
  </sheetData>
  <sheetProtection algorithmName="SHA-512" hashValue="+/NvFOcAeoFtdr6ApK1lb/H/xLQx0La56WQX9VLwwJsJ3ZHSmPSb/IYg2QnBq9hCe/Wor4RRCq5xIcRUQvpCnQ==" saltValue="sZ3Wv8jJdRaDMIqHUmGQuA==" spinCount="100000" sheet="1" objects="1" scenarios="1" selectLockedCells="1" selectUnlockedCells="1"/>
  <mergeCells count="21">
    <mergeCell ref="B31:L33"/>
    <mergeCell ref="B34:L37"/>
    <mergeCell ref="B22:L23"/>
    <mergeCell ref="B38:L39"/>
    <mergeCell ref="C41:L41"/>
    <mergeCell ref="C42:L42"/>
    <mergeCell ref="C43:L43"/>
    <mergeCell ref="C44:L44"/>
    <mergeCell ref="C45:L45"/>
    <mergeCell ref="C47:L47"/>
    <mergeCell ref="C46:L46"/>
    <mergeCell ref="B17:L18"/>
    <mergeCell ref="B19:L21"/>
    <mergeCell ref="A25:L25"/>
    <mergeCell ref="B26:L27"/>
    <mergeCell ref="B28:L30"/>
    <mergeCell ref="A2:L2"/>
    <mergeCell ref="A3:L8"/>
    <mergeCell ref="A10:L12"/>
    <mergeCell ref="A14:L14"/>
    <mergeCell ref="B15:L16"/>
  </mergeCells>
  <printOptions horizontalCentered="1"/>
  <pageMargins left="0.7" right="0.7" top="0.75" bottom="0.75" header="0.3" footer="0.3"/>
  <pageSetup scale="80" orientation="portrait" r:id="rId1"/>
  <headerFooter>
    <oddHeader>&amp;C&amp;"Arial,Bold"&amp;14Turn Lane Warrant and Length Analysis Workbook</oddHeader>
    <oddFooter>&amp;L&amp;G&amp;C&amp;D&amp;R&amp;F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sheetPr>
  <dimension ref="A1:IM414"/>
  <sheetViews>
    <sheetView showGridLines="0" showRowColHeaders="0" zoomScaleNormal="100" workbookViewId="0">
      <selection activeCell="N5" sqref="N5:W5"/>
    </sheetView>
  </sheetViews>
  <sheetFormatPr defaultRowHeight="12.75" x14ac:dyDescent="0.2"/>
  <cols>
    <col min="1" max="47" width="2.7109375" customWidth="1"/>
    <col min="48" max="49" width="9.140625" style="130" customWidth="1"/>
    <col min="50" max="50" width="17" style="130" customWidth="1"/>
    <col min="51" max="53" width="9.140625" style="130" customWidth="1"/>
    <col min="54" max="54" width="17" style="130" bestFit="1" customWidth="1"/>
    <col min="55" max="56" width="9.140625" style="130" customWidth="1"/>
    <col min="57" max="57" width="13.140625" style="130" bestFit="1" customWidth="1"/>
    <col min="58" max="61" width="9.140625" style="130" customWidth="1"/>
    <col min="62" max="62" width="11.28515625" style="130" bestFit="1" customWidth="1"/>
    <col min="63" max="63" width="15.42578125" style="130" bestFit="1" customWidth="1"/>
    <col min="64" max="64" width="17" style="130" bestFit="1" customWidth="1"/>
    <col min="65" max="74" width="9.140625" style="130"/>
    <col min="75" max="75" width="3" style="130" bestFit="1" customWidth="1"/>
    <col min="76" max="76" width="16.28515625" style="130" customWidth="1"/>
    <col min="77" max="77" width="7.140625" style="130" customWidth="1"/>
    <col min="78" max="78" width="9" style="130" customWidth="1"/>
    <col min="79" max="79" width="9.140625" style="130"/>
    <col min="80" max="80" width="9.5703125" style="130" bestFit="1" customWidth="1"/>
    <col min="81" max="81" width="9.5703125" style="130" customWidth="1"/>
    <col min="82" max="82" width="11.28515625" style="130" bestFit="1" customWidth="1"/>
    <col min="83" max="83" width="11.28515625" style="130" customWidth="1"/>
    <col min="84" max="84" width="9.5703125" style="130" bestFit="1" customWidth="1"/>
    <col min="85" max="85" width="9.5703125" style="130" customWidth="1"/>
    <col min="86" max="86" width="11.28515625" style="130" bestFit="1" customWidth="1"/>
    <col min="87" max="164" width="9.140625" style="130"/>
    <col min="165" max="247" width="9.140625" style="15"/>
  </cols>
  <sheetData>
    <row r="1" spans="1:92" ht="21" x14ac:dyDescent="0.35">
      <c r="A1" s="308" t="s">
        <v>86</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10"/>
      <c r="BE1" s="316" t="s">
        <v>230</v>
      </c>
      <c r="BF1" s="316"/>
      <c r="BG1" s="316"/>
      <c r="BH1" s="316"/>
      <c r="BI1" s="316"/>
      <c r="BJ1" s="316"/>
      <c r="BK1" s="316"/>
      <c r="BL1" s="316"/>
      <c r="BM1" s="246" t="s">
        <v>231</v>
      </c>
      <c r="BN1" s="247"/>
      <c r="BO1" s="247"/>
      <c r="BP1" s="247"/>
      <c r="BQ1" s="247"/>
      <c r="BR1" s="247"/>
      <c r="BS1" s="247"/>
      <c r="BT1" s="247"/>
      <c r="BU1" s="247"/>
      <c r="BV1" s="248"/>
      <c r="BW1" s="246" t="s">
        <v>276</v>
      </c>
      <c r="BX1" s="247"/>
      <c r="BY1" s="247"/>
      <c r="BZ1" s="247"/>
      <c r="CA1" s="247"/>
      <c r="CB1" s="247"/>
      <c r="CC1" s="247"/>
      <c r="CD1" s="247"/>
      <c r="CE1" s="247"/>
      <c r="CF1" s="247"/>
      <c r="CG1" s="247"/>
      <c r="CH1" s="247"/>
      <c r="CI1" s="247"/>
      <c r="CJ1" s="247"/>
      <c r="CK1" s="247"/>
      <c r="CL1" s="247"/>
      <c r="CM1" s="248"/>
    </row>
    <row r="2" spans="1:92" ht="9.9499999999999993" customHeight="1" x14ac:dyDescent="0.2">
      <c r="A2" s="112"/>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109"/>
      <c r="AY2" s="131"/>
      <c r="BE2" s="337" t="s">
        <v>212</v>
      </c>
      <c r="BF2" s="338"/>
      <c r="BG2" s="338"/>
      <c r="BH2" s="338"/>
      <c r="BI2" s="338"/>
      <c r="BJ2" s="339"/>
      <c r="BK2" s="132"/>
      <c r="BL2" s="132"/>
      <c r="BM2" s="329" t="s">
        <v>232</v>
      </c>
      <c r="BN2" s="133" t="s">
        <v>240</v>
      </c>
      <c r="BO2" s="133" t="s">
        <v>240</v>
      </c>
      <c r="BP2" s="133" t="s">
        <v>240</v>
      </c>
      <c r="BQ2" s="133" t="s">
        <v>240</v>
      </c>
      <c r="BR2" s="133" t="s">
        <v>240</v>
      </c>
      <c r="BS2" s="133" t="s">
        <v>240</v>
      </c>
      <c r="BT2" s="133" t="s">
        <v>234</v>
      </c>
      <c r="BU2" s="133" t="s">
        <v>234</v>
      </c>
      <c r="BV2" s="134"/>
      <c r="BW2" s="257" t="s">
        <v>273</v>
      </c>
      <c r="BX2" s="258"/>
      <c r="BY2" s="259" t="s">
        <v>274</v>
      </c>
      <c r="BZ2" s="260"/>
      <c r="CA2" s="249" t="s">
        <v>277</v>
      </c>
      <c r="CB2" s="316" t="s">
        <v>255</v>
      </c>
      <c r="CC2" s="316"/>
      <c r="CD2" s="316"/>
      <c r="CE2" s="316"/>
      <c r="CF2" s="316" t="s">
        <v>260</v>
      </c>
      <c r="CG2" s="316"/>
      <c r="CH2" s="316"/>
      <c r="CI2" s="316"/>
      <c r="CJ2" s="188" t="s">
        <v>271</v>
      </c>
      <c r="CK2" s="246" t="s">
        <v>275</v>
      </c>
      <c r="CL2" s="247"/>
      <c r="CM2" s="248"/>
    </row>
    <row r="3" spans="1:92" ht="15" customHeight="1" x14ac:dyDescent="0.25">
      <c r="A3" s="112"/>
      <c r="B3" s="125"/>
      <c r="C3" s="41"/>
      <c r="D3" s="41"/>
      <c r="E3" s="41"/>
      <c r="F3" s="41"/>
      <c r="G3" s="41"/>
      <c r="H3" s="41"/>
      <c r="I3" s="41"/>
      <c r="J3" s="44"/>
      <c r="K3" s="213"/>
      <c r="L3" s="213"/>
      <c r="M3" s="214" t="s">
        <v>87</v>
      </c>
      <c r="N3" s="271" t="s">
        <v>189</v>
      </c>
      <c r="O3" s="272"/>
      <c r="P3" s="272"/>
      <c r="Q3" s="272"/>
      <c r="R3" s="272"/>
      <c r="S3" s="272"/>
      <c r="T3" s="272"/>
      <c r="U3" s="272"/>
      <c r="V3" s="272"/>
      <c r="W3" s="273"/>
      <c r="X3" s="43"/>
      <c r="Y3" s="40"/>
      <c r="Z3" s="40"/>
      <c r="AA3" s="40"/>
      <c r="AB3" s="43"/>
      <c r="AC3" s="40"/>
      <c r="AD3" s="40"/>
      <c r="AE3" s="43"/>
      <c r="AF3" s="43"/>
      <c r="AG3" s="6" t="s">
        <v>88</v>
      </c>
      <c r="AH3" s="340">
        <v>42995</v>
      </c>
      <c r="AI3" s="341"/>
      <c r="AJ3" s="341"/>
      <c r="AK3" s="341"/>
      <c r="AL3" s="341"/>
      <c r="AM3" s="341"/>
      <c r="AN3" s="341"/>
      <c r="AO3" s="341"/>
      <c r="AP3" s="341"/>
      <c r="AQ3" s="341"/>
      <c r="AR3" s="342"/>
      <c r="AS3" s="41"/>
      <c r="AT3" s="40"/>
      <c r="AU3" s="109"/>
      <c r="AY3" s="131"/>
      <c r="BE3" s="334" t="s">
        <v>213</v>
      </c>
      <c r="BF3" s="335"/>
      <c r="BG3" s="335"/>
      <c r="BH3" s="335"/>
      <c r="BI3" s="336"/>
      <c r="BJ3" s="135" t="s">
        <v>214</v>
      </c>
      <c r="BK3" s="132"/>
      <c r="BL3" s="132"/>
      <c r="BM3" s="330"/>
      <c r="BN3" s="136">
        <v>35</v>
      </c>
      <c r="BO3" s="136">
        <v>40</v>
      </c>
      <c r="BP3" s="136">
        <v>45</v>
      </c>
      <c r="BQ3" s="136">
        <v>50</v>
      </c>
      <c r="BR3" s="136">
        <v>55</v>
      </c>
      <c r="BS3" s="136">
        <v>60</v>
      </c>
      <c r="BT3" s="136" t="s">
        <v>322</v>
      </c>
      <c r="BU3" s="136" t="s">
        <v>321</v>
      </c>
      <c r="BV3" s="134"/>
      <c r="BW3" s="228">
        <v>1</v>
      </c>
      <c r="BX3" s="228">
        <v>75</v>
      </c>
      <c r="BY3" s="232">
        <v>40</v>
      </c>
      <c r="BZ3" s="232">
        <v>75</v>
      </c>
      <c r="CA3" s="250"/>
      <c r="CB3" s="316" t="s">
        <v>84</v>
      </c>
      <c r="CC3" s="316"/>
      <c r="CD3" s="316" t="s">
        <v>85</v>
      </c>
      <c r="CE3" s="316"/>
      <c r="CF3" s="316" t="s">
        <v>84</v>
      </c>
      <c r="CG3" s="316"/>
      <c r="CH3" s="316" t="s">
        <v>85</v>
      </c>
      <c r="CI3" s="316"/>
      <c r="CJ3" s="189" t="s">
        <v>269</v>
      </c>
      <c r="CK3" s="190" t="s">
        <v>272</v>
      </c>
      <c r="CL3" s="190" t="s">
        <v>261</v>
      </c>
      <c r="CM3" s="190" t="s">
        <v>262</v>
      </c>
    </row>
    <row r="4" spans="1:92" ht="15" x14ac:dyDescent="0.25">
      <c r="A4" s="112"/>
      <c r="B4" s="41"/>
      <c r="C4" s="41"/>
      <c r="D4" s="41"/>
      <c r="E4" s="41"/>
      <c r="F4" s="41"/>
      <c r="G4" s="41"/>
      <c r="H4" s="41"/>
      <c r="I4" s="41"/>
      <c r="J4" s="44"/>
      <c r="K4" s="213"/>
      <c r="L4" s="213"/>
      <c r="M4" s="214" t="s">
        <v>89</v>
      </c>
      <c r="N4" s="271" t="s">
        <v>120</v>
      </c>
      <c r="O4" s="272"/>
      <c r="P4" s="272"/>
      <c r="Q4" s="272"/>
      <c r="R4" s="272"/>
      <c r="S4" s="272"/>
      <c r="T4" s="272"/>
      <c r="U4" s="272"/>
      <c r="V4" s="272"/>
      <c r="W4" s="273"/>
      <c r="X4" s="44"/>
      <c r="Y4" s="44"/>
      <c r="Z4" s="40"/>
      <c r="AA4" s="40"/>
      <c r="AB4" s="44"/>
      <c r="AC4" s="40"/>
      <c r="AD4" s="40"/>
      <c r="AE4" s="44"/>
      <c r="AF4" s="44"/>
      <c r="AG4" s="6" t="s">
        <v>90</v>
      </c>
      <c r="AH4" s="271" t="s">
        <v>78</v>
      </c>
      <c r="AI4" s="272"/>
      <c r="AJ4" s="272"/>
      <c r="AK4" s="272"/>
      <c r="AL4" s="272"/>
      <c r="AM4" s="272"/>
      <c r="AN4" s="272"/>
      <c r="AO4" s="272"/>
      <c r="AP4" s="272"/>
      <c r="AQ4" s="272"/>
      <c r="AR4" s="273"/>
      <c r="AS4" s="41"/>
      <c r="AT4" s="40"/>
      <c r="AU4" s="109"/>
      <c r="AX4" s="131"/>
      <c r="AY4" s="131"/>
      <c r="BE4" s="331" t="s">
        <v>215</v>
      </c>
      <c r="BF4" s="332"/>
      <c r="BG4" s="332"/>
      <c r="BH4" s="332"/>
      <c r="BI4" s="333"/>
      <c r="BJ4" s="137">
        <v>3</v>
      </c>
      <c r="BK4" s="132"/>
      <c r="BL4" s="132"/>
      <c r="BM4" s="138" t="s">
        <v>243</v>
      </c>
      <c r="BN4" s="139" t="str">
        <f>IF(AND($N$14&lt;=35,$AL$11=1),"Y","N")</f>
        <v>N</v>
      </c>
      <c r="BO4" s="139" t="str">
        <f>IF(AND($N$14=40,$AL$11=1),"Y","N")</f>
        <v>N</v>
      </c>
      <c r="BP4" s="139" t="str">
        <f>IF(AND($N$14=45,$AL$11=1),"Y","N")</f>
        <v>N</v>
      </c>
      <c r="BQ4" s="139" t="str">
        <f>IF(AND($N$14=50,$AL$11=1),"Y","N")</f>
        <v>Y</v>
      </c>
      <c r="BR4" s="139" t="str">
        <f>IF(AND($N$14=55,$AL$11=1),"Y","N")</f>
        <v>N</v>
      </c>
      <c r="BS4" s="139" t="str">
        <f>IF(AND($N$14=60,$AL$11=1),"Y","N")</f>
        <v>N</v>
      </c>
      <c r="BT4" s="139" t="str">
        <f>IF(AND($AL$11=2,$AL$12="Undivided"),"Y","N")</f>
        <v>N</v>
      </c>
      <c r="BU4" s="139" t="str">
        <f>IF(AND($AL$11=2,$AL$12="Divided"),"Y","N")</f>
        <v>N</v>
      </c>
      <c r="BV4" s="134"/>
      <c r="BW4" s="228">
        <v>2</v>
      </c>
      <c r="BX4" s="228">
        <v>100</v>
      </c>
      <c r="BY4" s="232">
        <v>45</v>
      </c>
      <c r="BZ4" s="232">
        <v>125</v>
      </c>
      <c r="CA4" s="191">
        <v>15</v>
      </c>
      <c r="CB4" s="228">
        <f>IF(AND(IF($AL$15="Left Turn Lane",$AO$27&gt;0.1,$BC$47&gt;0.1),$N$14=$CA4,$N$13="Signalized"),VLOOKUP($AG$49,$BW$3:$BX$34,2),0)</f>
        <v>0</v>
      </c>
      <c r="CC4" s="191" t="s">
        <v>193</v>
      </c>
      <c r="CD4" s="228">
        <f>IF(AND(IF($AL$15="Left Turn Lane",$AO$27&gt;0.1,$BC$47&gt;0.1),$N$14=$CA4,$N$13="Unsignalized"),VLOOKUP($AG$49,$BW$3:$BX$34,2),0)</f>
        <v>0</v>
      </c>
      <c r="CE4" s="221" t="s">
        <v>193</v>
      </c>
      <c r="CF4" s="228">
        <f t="shared" ref="CF4:CF5" si="0">IF(AND(IF($AL$15="Left Turn Lane",$AO$27&lt;=0.1,$BC$47&lt;=0.1),$N$14=$CA4,$N$13="Signalized"),VLOOKUP($AG$49,$BW$3:$BX$34,2),0)</f>
        <v>0</v>
      </c>
      <c r="CG4" s="221" t="s">
        <v>193</v>
      </c>
      <c r="CH4" s="228">
        <f>IF(AND(IF($AL$15="Left Turn Lane",$AO$27&lt;=0.1,$BC$47&lt;=0.1),$N$14=$CA4,$N$13="Unsignalized"),VLOOKUP($AG$49,$BW$3:$BX$34,2),0)</f>
        <v>0</v>
      </c>
      <c r="CI4" s="221" t="s">
        <v>193</v>
      </c>
      <c r="CJ4" s="191">
        <f t="shared" ref="CJ4:CJ10" si="1">CEILING(MAX(CB4:CI4),25)</f>
        <v>0</v>
      </c>
      <c r="CK4" s="191">
        <f>CB4+CD4+CF4+CH4</f>
        <v>0</v>
      </c>
      <c r="CL4" s="140" t="s">
        <v>119</v>
      </c>
      <c r="CM4" s="140" t="s">
        <v>119</v>
      </c>
    </row>
    <row r="5" spans="1:92" ht="15" x14ac:dyDescent="0.2">
      <c r="A5" s="112"/>
      <c r="B5" s="41"/>
      <c r="C5" s="41"/>
      <c r="D5" s="41"/>
      <c r="E5" s="41"/>
      <c r="F5" s="41"/>
      <c r="G5" s="41"/>
      <c r="H5" s="41"/>
      <c r="I5" s="41"/>
      <c r="J5" s="44"/>
      <c r="K5" s="213"/>
      <c r="L5" s="213"/>
      <c r="M5" s="215" t="s">
        <v>91</v>
      </c>
      <c r="N5" s="271">
        <v>8</v>
      </c>
      <c r="O5" s="272"/>
      <c r="P5" s="272"/>
      <c r="Q5" s="272"/>
      <c r="R5" s="272"/>
      <c r="S5" s="272"/>
      <c r="T5" s="272"/>
      <c r="U5" s="272"/>
      <c r="V5" s="272"/>
      <c r="W5" s="273"/>
      <c r="X5" s="44"/>
      <c r="Y5" s="44"/>
      <c r="Z5" s="40"/>
      <c r="AA5" s="40"/>
      <c r="AB5" s="44"/>
      <c r="AC5" s="40"/>
      <c r="AD5" s="40"/>
      <c r="AE5" s="44"/>
      <c r="AF5" s="44"/>
      <c r="AG5" s="6" t="s">
        <v>92</v>
      </c>
      <c r="AH5" s="271" t="s">
        <v>190</v>
      </c>
      <c r="AI5" s="272"/>
      <c r="AJ5" s="272"/>
      <c r="AK5" s="272"/>
      <c r="AL5" s="272"/>
      <c r="AM5" s="272"/>
      <c r="AN5" s="272"/>
      <c r="AO5" s="272"/>
      <c r="AP5" s="272"/>
      <c r="AQ5" s="272"/>
      <c r="AR5" s="273"/>
      <c r="AS5" s="41"/>
      <c r="AT5" s="40"/>
      <c r="AU5" s="109"/>
      <c r="AX5" s="131"/>
      <c r="AY5" s="131"/>
      <c r="BE5" s="331" t="s">
        <v>216</v>
      </c>
      <c r="BF5" s="332"/>
      <c r="BG5" s="332"/>
      <c r="BH5" s="332"/>
      <c r="BI5" s="333"/>
      <c r="BJ5" s="137">
        <v>5</v>
      </c>
      <c r="BK5" s="132"/>
      <c r="BL5" s="132"/>
      <c r="BM5" s="141" t="s">
        <v>82</v>
      </c>
      <c r="BN5" s="142">
        <f>IF(BN4="Y",$AO$22,0)</f>
        <v>0</v>
      </c>
      <c r="BO5" s="142">
        <f t="shared" ref="BO5:BS5" si="2">IF(BO4="Y",$AO$22,0)</f>
        <v>0</v>
      </c>
      <c r="BP5" s="142">
        <f t="shared" si="2"/>
        <v>0</v>
      </c>
      <c r="BQ5" s="142">
        <f t="shared" si="2"/>
        <v>1014</v>
      </c>
      <c r="BR5" s="142">
        <f t="shared" si="2"/>
        <v>0</v>
      </c>
      <c r="BS5" s="142">
        <f t="shared" si="2"/>
        <v>0</v>
      </c>
      <c r="BT5" s="142">
        <f t="shared" ref="BT5" si="3">IF(BT4="Y",$AO$22,0)</f>
        <v>0</v>
      </c>
      <c r="BU5" s="142">
        <f>IF(BU4="Y",$AO$22,0)</f>
        <v>0</v>
      </c>
      <c r="BV5" s="134"/>
      <c r="BW5" s="228">
        <v>3</v>
      </c>
      <c r="BX5" s="228">
        <v>150</v>
      </c>
      <c r="BY5" s="232">
        <v>50</v>
      </c>
      <c r="BZ5" s="232">
        <v>175</v>
      </c>
      <c r="CA5" s="191">
        <v>20</v>
      </c>
      <c r="CB5" s="228">
        <f>IF(AND(IF($AL$15="Left Turn Lane",$AO$27&gt;0.1,$BC$47&gt;0.1),$N$14=$CA5,$N$13="Signalized"),VLOOKUP($AG$49,$BW$3:$BX$34,2),0)</f>
        <v>0</v>
      </c>
      <c r="CC5" s="191" t="s">
        <v>193</v>
      </c>
      <c r="CD5" s="228">
        <f t="shared" ref="CD5:CD8" si="4">IF(AND(IF($AL$15="Left Turn Lane",$AO$27&gt;0.1,$BC$47&gt;0.1),$N$14=$CA5,$N$13="Unsignalized"),VLOOKUP($AG$49,$BW$3:$BX$34,2),0)</f>
        <v>0</v>
      </c>
      <c r="CE5" s="221" t="s">
        <v>193</v>
      </c>
      <c r="CF5" s="228">
        <f t="shared" si="0"/>
        <v>0</v>
      </c>
      <c r="CG5" s="221" t="s">
        <v>193</v>
      </c>
      <c r="CH5" s="228">
        <f t="shared" ref="CH5:CH7" si="5">IF(AND(IF($AL$15="Left Turn Lane",$AO$27&lt;=0.1,$BC$47&lt;=0.1),$N$14=$CA5,$N$13="Unsignalized"),VLOOKUP($AG$49,$BW$3:$BX$34,2),0)</f>
        <v>0</v>
      </c>
      <c r="CI5" s="221" t="s">
        <v>193</v>
      </c>
      <c r="CJ5" s="191">
        <f t="shared" si="1"/>
        <v>0</v>
      </c>
      <c r="CK5" s="191">
        <f>CB5+CD5+CF5+CH5</f>
        <v>0</v>
      </c>
      <c r="CL5" s="140" t="s">
        <v>119</v>
      </c>
      <c r="CM5" s="140" t="s">
        <v>119</v>
      </c>
      <c r="CN5" s="143"/>
    </row>
    <row r="6" spans="1:92" ht="15" x14ac:dyDescent="0.2">
      <c r="A6" s="112"/>
      <c r="B6" s="41"/>
      <c r="C6" s="41"/>
      <c r="D6" s="41"/>
      <c r="E6" s="41"/>
      <c r="F6" s="41"/>
      <c r="G6" s="41"/>
      <c r="H6" s="41"/>
      <c r="I6" s="41"/>
      <c r="J6" s="41"/>
      <c r="K6" s="44"/>
      <c r="L6" s="44"/>
      <c r="M6" s="215"/>
      <c r="N6" s="45"/>
      <c r="O6" s="45"/>
      <c r="P6" s="45"/>
      <c r="Q6" s="45"/>
      <c r="R6" s="45"/>
      <c r="S6" s="45"/>
      <c r="T6" s="45"/>
      <c r="U6" s="45"/>
      <c r="V6" s="45"/>
      <c r="W6" s="45"/>
      <c r="X6" s="46"/>
      <c r="Y6" s="46"/>
      <c r="Z6" s="40"/>
      <c r="AA6" s="40"/>
      <c r="AB6" s="46"/>
      <c r="AC6" s="40"/>
      <c r="AD6" s="40"/>
      <c r="AE6" s="46"/>
      <c r="AF6" s="46"/>
      <c r="AG6" s="6" t="s">
        <v>93</v>
      </c>
      <c r="AH6" s="271" t="s">
        <v>75</v>
      </c>
      <c r="AI6" s="272"/>
      <c r="AJ6" s="272"/>
      <c r="AK6" s="272"/>
      <c r="AL6" s="272"/>
      <c r="AM6" s="272"/>
      <c r="AN6" s="272"/>
      <c r="AO6" s="272"/>
      <c r="AP6" s="272"/>
      <c r="AQ6" s="272"/>
      <c r="AR6" s="273"/>
      <c r="AS6" s="41"/>
      <c r="AT6" s="40"/>
      <c r="AU6" s="109"/>
      <c r="AX6" s="144"/>
      <c r="AY6" s="144"/>
      <c r="AZ6" s="144"/>
      <c r="BA6" s="144"/>
      <c r="BB6" s="144"/>
      <c r="BC6" s="144"/>
      <c r="BD6" s="144"/>
      <c r="BE6" s="331" t="s">
        <v>217</v>
      </c>
      <c r="BF6" s="332"/>
      <c r="BG6" s="332"/>
      <c r="BH6" s="332"/>
      <c r="BI6" s="333"/>
      <c r="BJ6" s="137">
        <v>1.9</v>
      </c>
      <c r="BK6" s="132"/>
      <c r="BL6" s="132"/>
      <c r="BM6" s="141" t="s">
        <v>83</v>
      </c>
      <c r="BN6" s="142">
        <f>IF(BN4="Y",$AO$23,0)</f>
        <v>0</v>
      </c>
      <c r="BO6" s="142">
        <f t="shared" ref="BO6:BR6" si="6">IF(BO4="Y",$AO$23,0)</f>
        <v>0</v>
      </c>
      <c r="BP6" s="142">
        <f t="shared" si="6"/>
        <v>0</v>
      </c>
      <c r="BQ6" s="142">
        <f t="shared" si="6"/>
        <v>650</v>
      </c>
      <c r="BR6" s="142">
        <f t="shared" si="6"/>
        <v>0</v>
      </c>
      <c r="BS6" s="142">
        <f>IF(BS4="Y",$AO$23,0)</f>
        <v>0</v>
      </c>
      <c r="BT6" s="142">
        <f t="shared" ref="BT6" si="7">IF(BT4="Y",$AO$23,0)</f>
        <v>0</v>
      </c>
      <c r="BU6" s="142">
        <f>IF(BU4="Y",$AO$23,0)</f>
        <v>0</v>
      </c>
      <c r="BV6" s="134"/>
      <c r="BW6" s="228">
        <v>4</v>
      </c>
      <c r="BX6" s="228">
        <v>175</v>
      </c>
      <c r="BY6" s="232">
        <v>55</v>
      </c>
      <c r="BZ6" s="232">
        <v>235</v>
      </c>
      <c r="CA6" s="191">
        <v>25</v>
      </c>
      <c r="CB6" s="228">
        <f>IF(AND(IF($AL$15="Left Turn Lane",$AO$27&gt;0.1,$BC$47&gt;0.1),$N$14=$CA6,$N$13="Signalized"),VLOOKUP($AG$49,$BW$3:$BX$34,2),0)</f>
        <v>0</v>
      </c>
      <c r="CC6" s="191" t="s">
        <v>193</v>
      </c>
      <c r="CD6" s="228">
        <f t="shared" si="4"/>
        <v>0</v>
      </c>
      <c r="CE6" s="221" t="s">
        <v>193</v>
      </c>
      <c r="CF6" s="228">
        <f>IF(AND(IF($AL$15="Left Turn Lane",$AO$27&lt;=0.1,$BC$47&lt;=0.1),$N$14=$CA6,$N$13="Signalized"),VLOOKUP($AG$49,$BW$3:$BX$34,2),0)</f>
        <v>0</v>
      </c>
      <c r="CG6" s="221" t="s">
        <v>193</v>
      </c>
      <c r="CH6" s="228">
        <f>IF(AND(IF($AL$15="Left Turn Lane",$AO$27&lt;=0.1,$BC$47&lt;=0.1),$N$14=$CA6,$N$13="Unsignalized"),VLOOKUP($AG$49,$BW$3:$BX$34,2),0)</f>
        <v>0</v>
      </c>
      <c r="CI6" s="221" t="s">
        <v>193</v>
      </c>
      <c r="CJ6" s="191">
        <f t="shared" si="1"/>
        <v>0</v>
      </c>
      <c r="CK6" s="191">
        <f>CB6+CD6+CF6+CH6</f>
        <v>0</v>
      </c>
      <c r="CL6" s="140" t="s">
        <v>119</v>
      </c>
      <c r="CM6" s="140" t="s">
        <v>119</v>
      </c>
    </row>
    <row r="7" spans="1:92" ht="9.9499999999999993" customHeight="1" x14ac:dyDescent="0.2">
      <c r="A7" s="119"/>
      <c r="B7" s="41"/>
      <c r="C7" s="41"/>
      <c r="D7" s="41"/>
      <c r="E7" s="41"/>
      <c r="F7" s="41"/>
      <c r="G7" s="41"/>
      <c r="H7" s="11"/>
      <c r="I7" s="11"/>
      <c r="J7" s="11"/>
      <c r="K7" s="47"/>
      <c r="L7" s="47"/>
      <c r="M7" s="47"/>
      <c r="N7" s="47"/>
      <c r="O7" s="47"/>
      <c r="P7" s="47"/>
      <c r="Q7" s="47"/>
      <c r="R7" s="47"/>
      <c r="S7" s="44"/>
      <c r="T7" s="44"/>
      <c r="U7" s="48"/>
      <c r="V7" s="49"/>
      <c r="W7" s="47"/>
      <c r="X7" s="46"/>
      <c r="Y7" s="46"/>
      <c r="Z7" s="46"/>
      <c r="AA7" s="46"/>
      <c r="AB7" s="46"/>
      <c r="AC7" s="46"/>
      <c r="AD7" s="46"/>
      <c r="AE7" s="46"/>
      <c r="AF7" s="46"/>
      <c r="AG7" s="46"/>
      <c r="AH7" s="46"/>
      <c r="AI7" s="46"/>
      <c r="AJ7" s="46"/>
      <c r="AK7" s="46"/>
      <c r="AL7" s="46"/>
      <c r="AM7" s="46"/>
      <c r="AN7" s="47"/>
      <c r="AO7" s="44"/>
      <c r="AP7" s="44"/>
      <c r="AQ7" s="44"/>
      <c r="AR7" s="44"/>
      <c r="AS7" s="41"/>
      <c r="AT7" s="40"/>
      <c r="AU7" s="109"/>
      <c r="BD7" s="144"/>
      <c r="BE7" s="145" t="s">
        <v>218</v>
      </c>
      <c r="BF7" s="146">
        <f>IF(N14&lt;=35,0.04-0.0005*BF25,0.04-0.0005*N14)</f>
        <v>1.4999999999999999E-2</v>
      </c>
      <c r="BG7" s="147"/>
      <c r="BH7" s="132"/>
      <c r="BI7" s="132"/>
      <c r="BJ7" s="132"/>
      <c r="BK7" s="132"/>
      <c r="BL7" s="132"/>
      <c r="BM7" s="141"/>
      <c r="BN7" s="148"/>
      <c r="BO7" s="148"/>
      <c r="BP7" s="148"/>
      <c r="BQ7" s="148"/>
      <c r="BR7" s="148"/>
      <c r="BS7" s="148"/>
      <c r="BT7" s="132"/>
      <c r="BU7" s="132"/>
      <c r="BV7" s="134"/>
      <c r="BW7" s="228">
        <v>5</v>
      </c>
      <c r="BX7" s="228">
        <v>200</v>
      </c>
      <c r="BY7" s="232">
        <v>60</v>
      </c>
      <c r="BZ7" s="232">
        <v>295</v>
      </c>
      <c r="CA7" s="191">
        <v>30</v>
      </c>
      <c r="CB7" s="228">
        <f t="shared" ref="CB7:CB8" si="8">IF(AND(IF($AL$15="Left Turn Lane",$AO$27&gt;0.1,$BC$47&gt;0.1),$N$14=$CA7,$N$13="Signalized"),VLOOKUP($AG$49,$BW$3:$BX$34,2),0)</f>
        <v>0</v>
      </c>
      <c r="CC7" s="191" t="s">
        <v>193</v>
      </c>
      <c r="CD7" s="228">
        <f>IF(AND(IF($AL$15="Left Turn Lane",$AO$27&gt;0.1,$BC$47&gt;0.1),$N$14=$CA7,$N$13="Unsignalized"),VLOOKUP($AG$49,$BW$3:$BX$34,2),0)</f>
        <v>0</v>
      </c>
      <c r="CE7" s="221" t="s">
        <v>193</v>
      </c>
      <c r="CF7" s="228">
        <f t="shared" ref="CF7:CF8" si="9">IF(AND(IF($AL$15="Left Turn Lane",$AO$27&lt;=0.1,$BC$47&lt;=0.1),$N$14=$CA7,$N$13="Signalized"),VLOOKUP($AG$49,$BW$3:$BX$34,2),0)</f>
        <v>0</v>
      </c>
      <c r="CG7" s="221" t="s">
        <v>193</v>
      </c>
      <c r="CH7" s="228">
        <f t="shared" si="5"/>
        <v>0</v>
      </c>
      <c r="CI7" s="221" t="s">
        <v>193</v>
      </c>
      <c r="CJ7" s="191">
        <f t="shared" si="1"/>
        <v>0</v>
      </c>
      <c r="CK7" s="191">
        <f t="shared" ref="CK7:CK8" si="10">CB7+CD7+CF7+CH7</f>
        <v>0</v>
      </c>
      <c r="CL7" s="140" t="s">
        <v>119</v>
      </c>
      <c r="CM7" s="140" t="s">
        <v>119</v>
      </c>
    </row>
    <row r="8" spans="1:92" ht="15.75" thickBot="1" x14ac:dyDescent="0.25">
      <c r="A8" s="119"/>
      <c r="B8" s="41"/>
      <c r="C8" s="40"/>
      <c r="D8" s="40"/>
      <c r="E8" s="40"/>
      <c r="F8" s="40"/>
      <c r="G8" s="40"/>
      <c r="H8" s="11"/>
      <c r="I8" s="11"/>
      <c r="J8" s="11"/>
      <c r="K8" s="46"/>
      <c r="L8" s="46"/>
      <c r="M8" s="6" t="s">
        <v>210</v>
      </c>
      <c r="N8" s="343" t="s">
        <v>327</v>
      </c>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5"/>
      <c r="AS8" s="41"/>
      <c r="AT8" s="40"/>
      <c r="AU8" s="109"/>
      <c r="BD8" s="144"/>
      <c r="BE8" s="145" t="s">
        <v>219</v>
      </c>
      <c r="BF8" s="146">
        <v>0.79</v>
      </c>
      <c r="BG8" s="147"/>
      <c r="BH8" s="132"/>
      <c r="BI8" s="132"/>
      <c r="BJ8" s="132"/>
      <c r="BK8" s="132"/>
      <c r="BL8" s="132"/>
      <c r="BM8" s="330" t="s">
        <v>233</v>
      </c>
      <c r="BN8" s="133" t="s">
        <v>240</v>
      </c>
      <c r="BO8" s="133" t="s">
        <v>240</v>
      </c>
      <c r="BP8" s="133" t="s">
        <v>234</v>
      </c>
      <c r="BQ8" s="133" t="s">
        <v>234</v>
      </c>
      <c r="BR8" s="132"/>
      <c r="BS8" s="132"/>
      <c r="BT8" s="132"/>
      <c r="BU8" s="132"/>
      <c r="BV8" s="134"/>
      <c r="BW8" s="228">
        <v>6</v>
      </c>
      <c r="BX8" s="228">
        <v>250</v>
      </c>
      <c r="BY8" s="261" t="s">
        <v>274</v>
      </c>
      <c r="BZ8" s="262"/>
      <c r="CA8" s="226">
        <v>35</v>
      </c>
      <c r="CB8" s="229">
        <f t="shared" si="8"/>
        <v>0</v>
      </c>
      <c r="CC8" s="226" t="s">
        <v>193</v>
      </c>
      <c r="CD8" s="229">
        <f t="shared" si="4"/>
        <v>0</v>
      </c>
      <c r="CE8" s="226" t="s">
        <v>193</v>
      </c>
      <c r="CF8" s="229">
        <f t="shared" si="9"/>
        <v>0</v>
      </c>
      <c r="CG8" s="226" t="s">
        <v>193</v>
      </c>
      <c r="CH8" s="229">
        <f>IF(AND(IF($AL$15="Left Turn Lane",$AO$27&lt;=0.1,$BC$47&lt;=0.1),$N$14=$CA8,$N$13="Unsignalized"),VLOOKUP($AG$49,$BW$3:$BX$34,2),0)</f>
        <v>0</v>
      </c>
      <c r="CI8" s="226" t="s">
        <v>193</v>
      </c>
      <c r="CJ8" s="191">
        <f t="shared" si="1"/>
        <v>0</v>
      </c>
      <c r="CK8" s="191">
        <f t="shared" si="10"/>
        <v>0</v>
      </c>
      <c r="CL8" s="140" t="s">
        <v>119</v>
      </c>
      <c r="CM8" s="140" t="s">
        <v>119</v>
      </c>
    </row>
    <row r="9" spans="1:92" ht="15" x14ac:dyDescent="0.2">
      <c r="A9" s="119"/>
      <c r="B9" s="41"/>
      <c r="C9" s="46"/>
      <c r="D9" s="46"/>
      <c r="E9" s="46"/>
      <c r="F9" s="46"/>
      <c r="G9" s="46"/>
      <c r="H9" s="46"/>
      <c r="I9" s="46"/>
      <c r="J9" s="46"/>
      <c r="K9" s="46"/>
      <c r="L9" s="46"/>
      <c r="M9" s="46"/>
      <c r="N9" s="346"/>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8"/>
      <c r="AS9" s="41"/>
      <c r="AT9" s="40"/>
      <c r="AU9" s="109"/>
      <c r="BD9" s="144"/>
      <c r="BE9" s="145" t="s">
        <v>220</v>
      </c>
      <c r="BF9" s="149">
        <f>3600/AO23*(1/EXP(-AO23/3600*BJ5)-1)-BJ5</f>
        <v>3.1218483447439773</v>
      </c>
      <c r="BG9" s="146" t="s">
        <v>221</v>
      </c>
      <c r="BH9" s="132"/>
      <c r="BI9" s="132"/>
      <c r="BJ9" s="132"/>
      <c r="BK9" s="132"/>
      <c r="BL9" s="132"/>
      <c r="BM9" s="330"/>
      <c r="BN9" s="136">
        <v>40</v>
      </c>
      <c r="BO9" s="136">
        <v>45</v>
      </c>
      <c r="BP9" s="136">
        <v>40</v>
      </c>
      <c r="BQ9" s="136">
        <v>45</v>
      </c>
      <c r="BR9" s="132"/>
      <c r="BS9" s="132"/>
      <c r="BT9" s="132"/>
      <c r="BU9" s="132"/>
      <c r="BV9" s="134"/>
      <c r="BW9" s="228">
        <v>7</v>
      </c>
      <c r="BX9" s="228">
        <v>275</v>
      </c>
      <c r="BY9" s="227">
        <v>40</v>
      </c>
      <c r="BZ9" s="227">
        <v>61</v>
      </c>
      <c r="CA9" s="225">
        <v>40</v>
      </c>
      <c r="CB9" s="231">
        <f>IF(AND(IF($AL$15="Left Turn Lane",$AO$27&gt;0.1,$BC$47&gt;0.1),$N$14=$CA9,$N$13="Signalized"),VLOOKUP($N$14,$BY$3:$BZ$7,2),0)</f>
        <v>0</v>
      </c>
      <c r="CC9" s="230">
        <f>IF(AND(IF($AL$15="Left Turn Lane",$AO$27&gt;0.1,$BC$47&gt;0.1),$N$14=$CA9,$N$13="Signalized"),VLOOKUP($N$14,$BY$9:$BZ$13,2)+VLOOKUP($AG$49,$BW$3:$BX$34,2),0)</f>
        <v>0</v>
      </c>
      <c r="CD9" s="230">
        <f>IF(AND(IF($AL$15="Left Turn Lane",$AO$27&gt;0.1,$BC$47&gt;0.1),$N$14=$CA9,$N$13="Unsignalized"),VLOOKUP($N$14,$BY$9:$BZ$13,2)+VLOOKUP($AG$49,$BW$3:$BX$34,2),0)</f>
        <v>0</v>
      </c>
      <c r="CE9" s="225" t="s">
        <v>193</v>
      </c>
      <c r="CF9" s="231">
        <f>IF(AND(IF($AL$15="Left Turn Lane",$AO$27&lt;=0.1,$BC$47&lt;=0.1),$N$14=$CA9,$N$13="Signalized"),VLOOKUP($N$14,$BY$3:$BZ$7,2),0)</f>
        <v>0</v>
      </c>
      <c r="CG9" s="230">
        <f>IF(AND(IF($AL$15="Left Turn Lane",$AO$27&lt;=0.1,$BC$47&lt;=0.1),$N$14=$CA9,$N$13="Signalized"),VLOOKUP($N$14,$BY$9:$BZ$13,2)+VLOOKUP($AG$49,$BW$3:$BX$34,2),0)</f>
        <v>0</v>
      </c>
      <c r="CH9" s="231">
        <f>IF(AND(IF($AL$15="Left Turn Lane",$AO$27&lt;=0.1,$BC$47&lt;=0.1),$N$14=$CA9,$N$13="Unsignalized"),VLOOKUP($N$14,$BY$3:$BZ$7,2),0)</f>
        <v>0</v>
      </c>
      <c r="CI9" s="225" t="s">
        <v>193</v>
      </c>
      <c r="CJ9" s="191">
        <f>CEILING(MAX(CB9:CI9),25)</f>
        <v>0</v>
      </c>
      <c r="CK9" s="140" t="s">
        <v>119</v>
      </c>
      <c r="CL9" s="191">
        <f>CB9+CF9+CH9</f>
        <v>0</v>
      </c>
      <c r="CM9" s="191">
        <f>CC9+CD9+CG9</f>
        <v>0</v>
      </c>
    </row>
    <row r="10" spans="1:92" ht="9.9499999999999993" customHeight="1" x14ac:dyDescent="0.2">
      <c r="A10" s="119"/>
      <c r="B10" s="41"/>
      <c r="C10" s="46"/>
      <c r="D10" s="46"/>
      <c r="E10" s="46"/>
      <c r="F10" s="46"/>
      <c r="G10" s="46"/>
      <c r="H10" s="46"/>
      <c r="I10" s="46"/>
      <c r="J10" s="46"/>
      <c r="K10" s="46"/>
      <c r="L10" s="46"/>
      <c r="M10" s="46"/>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41"/>
      <c r="AT10" s="40"/>
      <c r="AU10" s="109"/>
      <c r="BD10" s="144"/>
      <c r="BE10" s="145" t="s">
        <v>222</v>
      </c>
      <c r="BF10" s="150">
        <f>AO23*EXP(-AO23/3600*BF8*BJ5)/(1-EXP(-AO23/3600*BJ4))</f>
        <v>761.67530897398626</v>
      </c>
      <c r="BG10" s="146" t="s">
        <v>223</v>
      </c>
      <c r="BH10" s="132"/>
      <c r="BI10" s="132"/>
      <c r="BJ10" s="132"/>
      <c r="BK10" s="132"/>
      <c r="BL10" s="132"/>
      <c r="BM10" s="138" t="s">
        <v>243</v>
      </c>
      <c r="BN10" s="139" t="str">
        <f>IF(AND($N$14&lt;=40,$AL$11=1),"Y","N")</f>
        <v>N</v>
      </c>
      <c r="BO10" s="139" t="str">
        <f>IF(AND($N$14&gt;=45,$AL$11=1),"Y","N")</f>
        <v>Y</v>
      </c>
      <c r="BP10" s="139" t="str">
        <f>IF(AND($N$14&lt;=40,$AL$11=2),"Y","N")</f>
        <v>N</v>
      </c>
      <c r="BQ10" s="139" t="str">
        <f>IF(AND($N$14&gt;=45,$AL$11=2),"Y","N")</f>
        <v>N</v>
      </c>
      <c r="BR10" s="132"/>
      <c r="BS10" s="132"/>
      <c r="BT10" s="132"/>
      <c r="BU10" s="132"/>
      <c r="BV10" s="134"/>
      <c r="BW10" s="228">
        <v>8</v>
      </c>
      <c r="BX10" s="228">
        <v>325</v>
      </c>
      <c r="BY10" s="227">
        <v>45</v>
      </c>
      <c r="BZ10" s="227">
        <v>75</v>
      </c>
      <c r="CA10" s="191">
        <v>45</v>
      </c>
      <c r="CB10" s="232">
        <f t="shared" ref="CB10:CB13" si="11">IF(AND(IF($AL$15="Left Turn Lane",$AO$27&gt;0.1,$BC$47&gt;0.1),$N$14=$CA10,$N$13="Signalized"),VLOOKUP($N$14,$BY$3:$BZ$7,2),0)</f>
        <v>0</v>
      </c>
      <c r="CC10" s="227">
        <f t="shared" ref="CC10:CC13" si="12">IF(AND(IF($AL$15="Left Turn Lane",$AO$27&gt;0.1,$BC$47&gt;0.1),$N$14=$CA10,$N$13="Signalized"),VLOOKUP($N$14,$BY$9:$BZ$13,2)+VLOOKUP($AG$49,$BW$3:$BX$34,2),0)</f>
        <v>0</v>
      </c>
      <c r="CD10" s="230">
        <f>IF(AND(IF($AL$15="Left Turn Lane",$AO$27&gt;0.1,$BC$47&gt;0.1),$N$14=$CA10,$N$13="Unsignalized"),VLOOKUP($N$14,$BY$9:$BZ$13,2)+VLOOKUP($AG$49,$BW$3:$BX$34,2),0)</f>
        <v>0</v>
      </c>
      <c r="CE10" s="222" t="s">
        <v>193</v>
      </c>
      <c r="CF10" s="232">
        <f t="shared" ref="CF10:CF13" si="13">IF(AND(IF($AL$15="Left Turn Lane",$AO$27&lt;=0.1,$BC$47&lt;=0.1),$N$14=$CA10,$N$13="Signalized"),VLOOKUP($N$14,$BY$3:$BZ$7,2),0)</f>
        <v>0</v>
      </c>
      <c r="CG10" s="227">
        <f t="shared" ref="CG10:CG12" si="14">IF(AND(IF($AL$15="Left Turn Lane",$AO$27&lt;=0.1,$BC$47&lt;=0.1),$N$14=$CA10,$N$13="Signalized"),VLOOKUP($N$14,$BY$9:$BZ$13,2)+VLOOKUP($AG$49,$BW$3:$BX$34,2),0)</f>
        <v>0</v>
      </c>
      <c r="CH10" s="232">
        <f>IF(AND(IF($AL$15="Left Turn Lane",$AO$27&lt;=0.1,$BC$47&lt;=0.1),$N$14=$CA10,$N$13="Unsignalized"),VLOOKUP($N$14,$BY$3:$BZ$7,2),0)</f>
        <v>0</v>
      </c>
      <c r="CI10" s="236" t="s">
        <v>193</v>
      </c>
      <c r="CJ10" s="191">
        <f t="shared" si="1"/>
        <v>0</v>
      </c>
      <c r="CK10" s="140" t="s">
        <v>119</v>
      </c>
      <c r="CL10" s="191">
        <f>CB10+CF10+CH10</f>
        <v>0</v>
      </c>
      <c r="CM10" s="191">
        <f>CC10+CD10+CG10</f>
        <v>0</v>
      </c>
    </row>
    <row r="11" spans="1:92" ht="15" customHeight="1" x14ac:dyDescent="0.25">
      <c r="A11" s="119"/>
      <c r="B11" s="41"/>
      <c r="C11" s="46"/>
      <c r="D11" s="46"/>
      <c r="E11" s="46"/>
      <c r="F11" s="46"/>
      <c r="G11" s="46"/>
      <c r="H11" s="46"/>
      <c r="I11" s="46"/>
      <c r="J11" s="46"/>
      <c r="K11" s="46"/>
      <c r="L11" s="46"/>
      <c r="M11" s="10" t="s">
        <v>72</v>
      </c>
      <c r="N11" s="349" t="s">
        <v>366</v>
      </c>
      <c r="O11" s="272"/>
      <c r="P11" s="272"/>
      <c r="Q11" s="272"/>
      <c r="R11" s="272"/>
      <c r="S11" s="272"/>
      <c r="T11" s="272"/>
      <c r="U11" s="272"/>
      <c r="V11" s="272"/>
      <c r="W11" s="273"/>
      <c r="X11" s="50"/>
      <c r="Y11" s="50"/>
      <c r="Z11" s="216"/>
      <c r="AA11" s="216"/>
      <c r="AB11" s="216"/>
      <c r="AC11" s="216"/>
      <c r="AD11" s="216"/>
      <c r="AE11" s="216"/>
      <c r="AF11" s="216"/>
      <c r="AG11" s="216"/>
      <c r="AH11" s="216"/>
      <c r="AI11" s="216"/>
      <c r="AJ11" s="216"/>
      <c r="AK11" s="214" t="s">
        <v>236</v>
      </c>
      <c r="AL11" s="271">
        <v>1</v>
      </c>
      <c r="AM11" s="272"/>
      <c r="AN11" s="272"/>
      <c r="AO11" s="272"/>
      <c r="AP11" s="272"/>
      <c r="AQ11" s="272"/>
      <c r="AR11" s="273"/>
      <c r="AS11" s="41"/>
      <c r="AT11" s="40"/>
      <c r="AU11" s="109"/>
      <c r="BD11" s="144"/>
      <c r="BE11" s="145" t="s">
        <v>224</v>
      </c>
      <c r="BF11" s="151">
        <f>SQRT(BF7*2400*BF10/AO27/(1-AO27)/(BF9+BJ6))</f>
        <v>221.02659781220837</v>
      </c>
      <c r="BG11" s="150" t="s">
        <v>223</v>
      </c>
      <c r="BH11" s="132"/>
      <c r="BI11" s="132"/>
      <c r="BJ11" s="132"/>
      <c r="BK11" s="132"/>
      <c r="BL11" s="132"/>
      <c r="BM11" s="141" t="s">
        <v>82</v>
      </c>
      <c r="BN11" s="142">
        <f>IF(BN10="Y",$AO$33,0)</f>
        <v>0</v>
      </c>
      <c r="BO11" s="142" t="str">
        <f>IF(BO10="Y",$AO$33,0)</f>
        <v>N/A</v>
      </c>
      <c r="BP11" s="142">
        <f t="shared" ref="BP11:BQ11" si="15">IF(BP10="Y",$AO$33,0)</f>
        <v>0</v>
      </c>
      <c r="BQ11" s="142">
        <f t="shared" si="15"/>
        <v>0</v>
      </c>
      <c r="BR11" s="132"/>
      <c r="BS11" s="132"/>
      <c r="BT11" s="132"/>
      <c r="BU11" s="132"/>
      <c r="BV11" s="134"/>
      <c r="BW11" s="228">
        <v>9</v>
      </c>
      <c r="BX11" s="228">
        <v>350</v>
      </c>
      <c r="BY11" s="227">
        <v>50</v>
      </c>
      <c r="BZ11" s="227">
        <v>93</v>
      </c>
      <c r="CA11" s="191">
        <v>50</v>
      </c>
      <c r="CB11" s="232">
        <f t="shared" si="11"/>
        <v>175</v>
      </c>
      <c r="CC11" s="227">
        <f>IF(AND(IF($AL$15="Left Turn Lane",$AO$27&gt;0.1,$BC$47&gt;0.1),$N$14=$CA11,$N$13="Signalized"),VLOOKUP($N$14,$BY$9:$BZ$13,2)+VLOOKUP($AG$49,$BW$3:$BX$34,2),0)</f>
        <v>243</v>
      </c>
      <c r="CD11" s="232">
        <f>IF(AND(IF($AL$15="Left Turn Lane",$AO$27&gt;0.1,$BC$47&gt;0.1),$N$14=$CA11,$N$13="Unsignalized"),VLOOKUP($N$14,$BY$3:$BZ$7,2),0)</f>
        <v>0</v>
      </c>
      <c r="CE11" s="227">
        <f>IF(AND(IF($AL$15="Left Turn Lane",$AO$27&gt;0.1,$BC$47&gt;0.1),$N$14=$CA11,$N$13="Unsignalized"),VLOOKUP($N$14,$BY$9:$BZ$13,2)+VLOOKUP($AG$49,$BW$3:$BX$34,2),0)</f>
        <v>0</v>
      </c>
      <c r="CF11" s="232">
        <f>IF(AND(IF($AL$15="Left Turn Lane",$AO$27&lt;=0.1,$BC$47&lt;=0.1),$N$14=$CA11,$N$13="Signalized"),VLOOKUP($N$14,$BY$3:$BZ$7,2),0)</f>
        <v>0</v>
      </c>
      <c r="CG11" s="227">
        <f>IF(AND(IF($AL$15="Left Turn Lane",$AO$27&lt;=0.1,$BC$47&lt;=0.1),$N$14=$CA11,$N$13="Signalized"),VLOOKUP($N$14,$BY$9:$BZ$13,2)+VLOOKUP($AG$49,$BW$3:$BX$34,2),0)</f>
        <v>0</v>
      </c>
      <c r="CH11" s="232">
        <f>IF(AND(IF($AL$15="Left Turn Lane",$AO$27&lt;=0.1,$BC$47&lt;=0.1),$N$14=$CA11,$N$13="Unsignalized"),VLOOKUP($N$14,$BY$3:$BZ$7,2),0)</f>
        <v>0</v>
      </c>
      <c r="CI11" s="236" t="s">
        <v>193</v>
      </c>
      <c r="CJ11" s="191">
        <f>CEILING(MAX(CB11:CI11),25)</f>
        <v>250</v>
      </c>
      <c r="CK11" s="140" t="s">
        <v>119</v>
      </c>
      <c r="CL11" s="191">
        <f>CB11+CD11+CF11+CH11</f>
        <v>175</v>
      </c>
      <c r="CM11" s="191">
        <f>CC11+CE11+CG11</f>
        <v>243</v>
      </c>
    </row>
    <row r="12" spans="1:92" ht="15" x14ac:dyDescent="0.25">
      <c r="A12" s="119"/>
      <c r="B12" s="41"/>
      <c r="C12" s="46"/>
      <c r="D12" s="46"/>
      <c r="E12" s="46"/>
      <c r="F12" s="46"/>
      <c r="G12" s="46"/>
      <c r="H12" s="46"/>
      <c r="I12" s="46"/>
      <c r="J12" s="46"/>
      <c r="K12" s="46"/>
      <c r="L12" s="46"/>
      <c r="M12" s="10" t="s">
        <v>77</v>
      </c>
      <c r="N12" s="362" t="s">
        <v>209</v>
      </c>
      <c r="O12" s="272"/>
      <c r="P12" s="272"/>
      <c r="Q12" s="272"/>
      <c r="R12" s="272"/>
      <c r="S12" s="272"/>
      <c r="T12" s="272"/>
      <c r="U12" s="272"/>
      <c r="V12" s="272"/>
      <c r="W12" s="273"/>
      <c r="X12" s="50"/>
      <c r="Y12" s="50"/>
      <c r="Z12" s="216"/>
      <c r="AA12" s="216"/>
      <c r="AB12" s="216"/>
      <c r="AC12" s="216"/>
      <c r="AD12" s="216"/>
      <c r="AE12" s="216"/>
      <c r="AF12" s="216"/>
      <c r="AG12" s="216"/>
      <c r="AH12" s="216"/>
      <c r="AI12" s="216"/>
      <c r="AJ12" s="216"/>
      <c r="AK12" s="214" t="s">
        <v>324</v>
      </c>
      <c r="AL12" s="271" t="s">
        <v>322</v>
      </c>
      <c r="AM12" s="272"/>
      <c r="AN12" s="272"/>
      <c r="AO12" s="272"/>
      <c r="AP12" s="272"/>
      <c r="AQ12" s="272"/>
      <c r="AR12" s="273"/>
      <c r="AS12" s="41"/>
      <c r="AT12" s="40"/>
      <c r="AU12" s="109"/>
      <c r="AX12" s="144"/>
      <c r="AY12" s="144"/>
      <c r="AZ12" s="144"/>
      <c r="BA12" s="144"/>
      <c r="BB12" s="144"/>
      <c r="BC12" s="144"/>
      <c r="BD12" s="144"/>
      <c r="BE12" s="152"/>
      <c r="BF12" s="132"/>
      <c r="BG12" s="132"/>
      <c r="BH12" s="132"/>
      <c r="BI12" s="132"/>
      <c r="BJ12" s="132"/>
      <c r="BK12" s="132"/>
      <c r="BL12" s="132"/>
      <c r="BM12" s="141" t="s">
        <v>235</v>
      </c>
      <c r="BN12" s="142">
        <f>IF(BN10="Y",$AO$34,0)</f>
        <v>0</v>
      </c>
      <c r="BO12" s="142" t="str">
        <f t="shared" ref="BO12:BQ12" si="16">IF(BO10="Y",$AO$34,0)</f>
        <v>N/A</v>
      </c>
      <c r="BP12" s="142">
        <f t="shared" si="16"/>
        <v>0</v>
      </c>
      <c r="BQ12" s="142">
        <f t="shared" si="16"/>
        <v>0</v>
      </c>
      <c r="BR12" s="132"/>
      <c r="BS12" s="132"/>
      <c r="BT12" s="132"/>
      <c r="BU12" s="132"/>
      <c r="BV12" s="134"/>
      <c r="BW12" s="228">
        <v>10</v>
      </c>
      <c r="BX12" s="228">
        <v>375</v>
      </c>
      <c r="BY12" s="227">
        <v>55</v>
      </c>
      <c r="BZ12" s="227">
        <v>114</v>
      </c>
      <c r="CA12" s="191">
        <v>55</v>
      </c>
      <c r="CB12" s="232">
        <f t="shared" si="11"/>
        <v>0</v>
      </c>
      <c r="CC12" s="227">
        <f>IF(AND(IF($AL$15="Left Turn Lane",$AO$27&gt;0.1,$BC$47&gt;0.1),$N$14=$CA12,$N$13="Signalized"),VLOOKUP($N$14,$BY$9:$BZ$13,2)+VLOOKUP($AG$49,$BW$3:$BX$34,2),0)</f>
        <v>0</v>
      </c>
      <c r="CD12" s="232">
        <f t="shared" ref="CD12:CD13" si="17">IF(AND(IF($AL$15="Left Turn Lane",$AO$27&gt;0.1,$BC$47&gt;0.1),$N$14=$CA12,$N$13="Unsignalized"),VLOOKUP($N$14,$BY$3:$BZ$7,2),0)</f>
        <v>0</v>
      </c>
      <c r="CE12" s="227">
        <f>IF(AND(IF($AL$15="Left Turn Lane",$AO$27&gt;0.1,$BC$47&gt;0.1),$N$14=$CA12,$N$13="Unsignalized"),VLOOKUP($N$14,$BY$9:$BZ$13,2)+VLOOKUP($AG$49,$BW$3:$BX$34,2),0)</f>
        <v>0</v>
      </c>
      <c r="CF12" s="232">
        <f t="shared" si="13"/>
        <v>0</v>
      </c>
      <c r="CG12" s="227">
        <f t="shared" si="14"/>
        <v>0</v>
      </c>
      <c r="CH12" s="232">
        <f t="shared" ref="CH12" si="18">IF(AND(IF($AL$15="Left Turn Lane",$AO$27&lt;=0.1,$BC$47&lt;=0.1),$N$14=$CA12,$N$13="Unsignalized"),VLOOKUP($N$14,$BY$3:$BZ$7,2),0)</f>
        <v>0</v>
      </c>
      <c r="CI12" s="236" t="s">
        <v>193</v>
      </c>
      <c r="CJ12" s="191">
        <f>CEILING(MAX(CB12:CI12),25)</f>
        <v>0</v>
      </c>
      <c r="CK12" s="140" t="s">
        <v>119</v>
      </c>
      <c r="CL12" s="191">
        <f t="shared" ref="CL12:CL13" si="19">CB12+CD12+CF12+CH12</f>
        <v>0</v>
      </c>
      <c r="CM12" s="191">
        <f>CC12+CE12+CG12</f>
        <v>0</v>
      </c>
    </row>
    <row r="13" spans="1:92" ht="15" customHeight="1" thickBot="1" x14ac:dyDescent="0.3">
      <c r="A13" s="119"/>
      <c r="B13" s="41"/>
      <c r="C13" s="46"/>
      <c r="D13" s="46"/>
      <c r="E13" s="46"/>
      <c r="F13" s="46"/>
      <c r="G13" s="46"/>
      <c r="H13" s="46"/>
      <c r="I13" s="46"/>
      <c r="J13" s="46"/>
      <c r="K13" s="46"/>
      <c r="L13" s="46"/>
      <c r="M13" s="10" t="s">
        <v>183</v>
      </c>
      <c r="N13" s="271" t="s">
        <v>84</v>
      </c>
      <c r="O13" s="272"/>
      <c r="P13" s="272"/>
      <c r="Q13" s="272"/>
      <c r="R13" s="272"/>
      <c r="S13" s="272"/>
      <c r="T13" s="272"/>
      <c r="U13" s="272"/>
      <c r="V13" s="272"/>
      <c r="W13" s="273"/>
      <c r="X13" s="50"/>
      <c r="Y13" s="50"/>
      <c r="Z13" s="216"/>
      <c r="AA13" s="211"/>
      <c r="AB13" s="217"/>
      <c r="AC13" s="217"/>
      <c r="AD13" s="217"/>
      <c r="AE13" s="217"/>
      <c r="AF13" s="217"/>
      <c r="AG13" s="217"/>
      <c r="AH13" s="217"/>
      <c r="AI13" s="47"/>
      <c r="AJ13" s="47"/>
      <c r="AK13" s="214"/>
      <c r="AL13" s="56"/>
      <c r="AM13" s="56"/>
      <c r="AN13" s="56"/>
      <c r="AO13" s="56"/>
      <c r="AP13" s="56"/>
      <c r="AQ13" s="56"/>
      <c r="AR13" s="56"/>
      <c r="AS13" s="41"/>
      <c r="AT13" s="40"/>
      <c r="AU13" s="109"/>
      <c r="AX13" s="144"/>
      <c r="AY13" s="144"/>
      <c r="AZ13" s="144"/>
      <c r="BA13" s="144"/>
      <c r="BB13" s="144"/>
      <c r="BC13" s="144"/>
      <c r="BD13" s="144"/>
      <c r="BE13" s="135" t="s">
        <v>225</v>
      </c>
      <c r="BF13" s="135" t="s">
        <v>226</v>
      </c>
      <c r="BG13" s="153"/>
      <c r="BH13" s="135" t="s">
        <v>225</v>
      </c>
      <c r="BI13" s="135" t="s">
        <v>227</v>
      </c>
      <c r="BJ13" s="154"/>
      <c r="BK13" s="132"/>
      <c r="BL13" s="132"/>
      <c r="BM13" s="141"/>
      <c r="BN13" s="148"/>
      <c r="BO13" s="148"/>
      <c r="BP13" s="148"/>
      <c r="BQ13" s="148"/>
      <c r="BR13" s="148"/>
      <c r="BS13" s="148"/>
      <c r="BT13" s="132"/>
      <c r="BU13" s="132"/>
      <c r="BV13" s="134"/>
      <c r="BW13" s="228">
        <v>11</v>
      </c>
      <c r="BX13" s="228">
        <v>400</v>
      </c>
      <c r="BY13" s="227">
        <v>60</v>
      </c>
      <c r="BZ13" s="227">
        <v>131</v>
      </c>
      <c r="CA13" s="191">
        <v>60</v>
      </c>
      <c r="CB13" s="232">
        <f t="shared" si="11"/>
        <v>0</v>
      </c>
      <c r="CC13" s="227">
        <f t="shared" si="12"/>
        <v>0</v>
      </c>
      <c r="CD13" s="232">
        <f t="shared" si="17"/>
        <v>0</v>
      </c>
      <c r="CE13" s="227">
        <f t="shared" ref="CE13" si="20">IF(AND(IF($AL$15="Left Turn Lane",$AO$27&gt;0.1,$BC$47&gt;0.1),$N$14=$CA13,$N$13="Unsignalized"),VLOOKUP($N$14,$BY$9:$BZ$13,2)+VLOOKUP($AG$49,$BW$3:$BX$34,2),0)</f>
        <v>0</v>
      </c>
      <c r="CF13" s="232">
        <f t="shared" si="13"/>
        <v>0</v>
      </c>
      <c r="CG13" s="227">
        <f>IF(AND(IF($AL$15="Left Turn Lane",$AO$27&lt;=0.1,$BC$47&lt;=0.1),$N$14=$CA13,$N$13="Signalized"),VLOOKUP($N$14,$BY$9:$BZ$13,2)+VLOOKUP($AG$49,$BW$3:$BX$34,2),0)</f>
        <v>0</v>
      </c>
      <c r="CH13" s="232">
        <f>IF(AND(IF($AL$15="Left Turn Lane",$AO$27&lt;=0.1,$BC$47&lt;=0.1),$N$14=$CA13,$N$13="Unsignalized"),VLOOKUP($N$14,$BY$3:$BZ$7,2),0)</f>
        <v>0</v>
      </c>
      <c r="CI13" s="236" t="s">
        <v>193</v>
      </c>
      <c r="CJ13" s="191">
        <f>CEILING(MAX(CB13:CI13),25)</f>
        <v>0</v>
      </c>
      <c r="CK13" s="140" t="s">
        <v>119</v>
      </c>
      <c r="CL13" s="191">
        <f t="shared" si="19"/>
        <v>0</v>
      </c>
      <c r="CM13" s="191">
        <f t="shared" ref="CM13" si="21">CC13+CE13+CG13</f>
        <v>0</v>
      </c>
    </row>
    <row r="14" spans="1:92" ht="15.75" thickBot="1" x14ac:dyDescent="0.3">
      <c r="A14" s="119"/>
      <c r="B14" s="41"/>
      <c r="C14" s="46"/>
      <c r="D14" s="46"/>
      <c r="E14" s="46"/>
      <c r="F14" s="46"/>
      <c r="G14" s="46"/>
      <c r="H14" s="46"/>
      <c r="I14" s="46"/>
      <c r="J14" s="46"/>
      <c r="K14" s="46"/>
      <c r="L14" s="46"/>
      <c r="M14" s="10" t="s">
        <v>188</v>
      </c>
      <c r="N14" s="271">
        <v>50</v>
      </c>
      <c r="O14" s="272"/>
      <c r="P14" s="272"/>
      <c r="Q14" s="272"/>
      <c r="R14" s="272"/>
      <c r="S14" s="272"/>
      <c r="T14" s="272"/>
      <c r="U14" s="272"/>
      <c r="V14" s="272"/>
      <c r="W14" s="273"/>
      <c r="X14" s="50"/>
      <c r="Y14" s="237"/>
      <c r="Z14" s="218"/>
      <c r="AA14" s="219"/>
      <c r="AB14" s="219"/>
      <c r="AC14" s="219"/>
      <c r="AD14" s="219"/>
      <c r="AE14" s="219"/>
      <c r="AF14" s="219"/>
      <c r="AG14" s="219"/>
      <c r="AH14" s="219"/>
      <c r="AI14" s="219"/>
      <c r="AJ14" s="219"/>
      <c r="AK14" s="220"/>
      <c r="AL14" s="268" t="s">
        <v>357</v>
      </c>
      <c r="AM14" s="269"/>
      <c r="AN14" s="269"/>
      <c r="AO14" s="269"/>
      <c r="AP14" s="269"/>
      <c r="AQ14" s="269"/>
      <c r="AR14" s="270"/>
      <c r="AS14" s="41"/>
      <c r="AT14" s="40"/>
      <c r="AU14" s="109"/>
      <c r="AX14" s="144"/>
      <c r="AY14" s="144"/>
      <c r="AZ14" s="144"/>
      <c r="BA14" s="144"/>
      <c r="BB14" s="144"/>
      <c r="BC14" s="144"/>
      <c r="BD14" s="144"/>
      <c r="BE14" s="139">
        <v>100</v>
      </c>
      <c r="BF14" s="155">
        <f t="shared" ref="BF14:BF21" si="22">3600/BE14*(1/EXP(-BE14/3600*$BJ$5)-1)-$BJ$5</f>
        <v>0.36387135908122747</v>
      </c>
      <c r="BG14" s="153"/>
      <c r="BH14" s="142">
        <f t="shared" ref="BH14:BH21" si="23">BE14</f>
        <v>100</v>
      </c>
      <c r="BI14" s="137">
        <f t="shared" ref="BI14:BI21" si="24">BH14*EXP(-BH14/3600*$BF$8*$BJ$5)/(1-EXP(-BH14/3600*$BJ$4))</f>
        <v>1120.7259737044269</v>
      </c>
      <c r="BJ14" s="154"/>
      <c r="BK14" s="132"/>
      <c r="BL14" s="132"/>
      <c r="BM14" s="152"/>
      <c r="BN14" s="132"/>
      <c r="BO14" s="132"/>
      <c r="BP14" s="132"/>
      <c r="BQ14" s="132"/>
      <c r="BR14" s="132"/>
      <c r="BS14" s="132"/>
      <c r="BT14" s="132"/>
      <c r="BU14" s="156"/>
      <c r="BV14" s="134"/>
      <c r="BW14" s="228">
        <v>12</v>
      </c>
      <c r="BX14" s="228">
        <v>450</v>
      </c>
      <c r="BY14" s="132"/>
      <c r="BZ14" s="132"/>
      <c r="CA14" s="132"/>
      <c r="CB14" s="132"/>
      <c r="CC14" s="132"/>
      <c r="CD14" s="132"/>
      <c r="CE14" s="132"/>
      <c r="CF14" s="132"/>
      <c r="CG14" s="132"/>
      <c r="CH14" s="132"/>
      <c r="CI14" s="132"/>
      <c r="CJ14" s="191">
        <f>MAX(CJ4:CJ13)</f>
        <v>250</v>
      </c>
      <c r="CK14" s="132"/>
      <c r="CL14" s="132"/>
      <c r="CM14" s="134"/>
    </row>
    <row r="15" spans="1:92" ht="15" x14ac:dyDescent="0.25">
      <c r="A15" s="119"/>
      <c r="B15" s="41"/>
      <c r="C15" s="46"/>
      <c r="D15" s="46"/>
      <c r="E15" s="46"/>
      <c r="F15" s="46"/>
      <c r="G15" s="46"/>
      <c r="H15" s="46"/>
      <c r="I15" s="46"/>
      <c r="J15" s="46"/>
      <c r="K15" s="46"/>
      <c r="L15" s="46"/>
      <c r="M15" s="10" t="s">
        <v>185</v>
      </c>
      <c r="N15" s="271" t="s">
        <v>76</v>
      </c>
      <c r="O15" s="272"/>
      <c r="P15" s="272"/>
      <c r="Q15" s="272"/>
      <c r="R15" s="272"/>
      <c r="S15" s="272"/>
      <c r="T15" s="272"/>
      <c r="U15" s="272"/>
      <c r="V15" s="272"/>
      <c r="W15" s="273"/>
      <c r="X15" s="50"/>
      <c r="Y15" s="50"/>
      <c r="Z15" s="354" t="s">
        <v>358</v>
      </c>
      <c r="AA15" s="354"/>
      <c r="AB15" s="354"/>
      <c r="AC15" s="354"/>
      <c r="AD15" s="354"/>
      <c r="AE15" s="354"/>
      <c r="AF15" s="354"/>
      <c r="AG15" s="354"/>
      <c r="AH15" s="354"/>
      <c r="AI15" s="354"/>
      <c r="AJ15" s="354"/>
      <c r="AK15" s="355"/>
      <c r="AL15" s="351" t="s">
        <v>200</v>
      </c>
      <c r="AM15" s="352"/>
      <c r="AN15" s="352"/>
      <c r="AO15" s="352"/>
      <c r="AP15" s="352"/>
      <c r="AQ15" s="352"/>
      <c r="AR15" s="353"/>
      <c r="AS15" s="41"/>
      <c r="AT15" s="40"/>
      <c r="AU15" s="109"/>
      <c r="AX15" s="144"/>
      <c r="AY15" s="144"/>
      <c r="AZ15" s="144"/>
      <c r="BA15" s="144"/>
      <c r="BB15" s="144"/>
      <c r="BC15" s="144"/>
      <c r="BD15" s="144"/>
      <c r="BE15" s="139">
        <f t="shared" ref="BE15:BE21" si="25">BE14+100</f>
        <v>200</v>
      </c>
      <c r="BF15" s="155">
        <f t="shared" si="22"/>
        <v>0.76347019181416442</v>
      </c>
      <c r="BG15" s="153"/>
      <c r="BH15" s="142">
        <f t="shared" si="23"/>
        <v>200</v>
      </c>
      <c r="BI15" s="137">
        <f t="shared" si="24"/>
        <v>1046.0836210352436</v>
      </c>
      <c r="BJ15" s="146"/>
      <c r="BK15" s="132"/>
      <c r="BL15" s="132"/>
      <c r="BM15" s="325" t="s">
        <v>229</v>
      </c>
      <c r="BN15" s="313" t="s">
        <v>204</v>
      </c>
      <c r="BO15" s="314"/>
      <c r="BP15" s="314"/>
      <c r="BQ15" s="315"/>
      <c r="BR15" s="326" t="s">
        <v>241</v>
      </c>
      <c r="BS15" s="313" t="s">
        <v>208</v>
      </c>
      <c r="BT15" s="314"/>
      <c r="BU15" s="314"/>
      <c r="BV15" s="315"/>
      <c r="BW15" s="228">
        <v>13</v>
      </c>
      <c r="BX15" s="228">
        <v>475</v>
      </c>
      <c r="BY15" s="132"/>
      <c r="BZ15" s="132"/>
      <c r="CA15" s="132"/>
      <c r="CB15" s="233" t="s">
        <v>272</v>
      </c>
      <c r="CC15" s="132"/>
      <c r="CD15" s="132"/>
      <c r="CE15" s="132"/>
      <c r="CF15" s="132"/>
      <c r="CG15" s="132"/>
      <c r="CH15" s="132"/>
      <c r="CI15" s="132"/>
      <c r="CJ15" s="132"/>
      <c r="CK15" s="132"/>
      <c r="CL15" s="132"/>
      <c r="CM15" s="134"/>
    </row>
    <row r="16" spans="1:92" ht="9.9499999999999993" customHeight="1" x14ac:dyDescent="0.2">
      <c r="A16" s="119"/>
      <c r="B16" s="41"/>
      <c r="C16" s="46"/>
      <c r="D16" s="46"/>
      <c r="E16" s="46"/>
      <c r="F16" s="46"/>
      <c r="G16" s="46"/>
      <c r="H16" s="46"/>
      <c r="I16" s="46"/>
      <c r="J16" s="46"/>
      <c r="K16" s="46"/>
      <c r="L16" s="46"/>
      <c r="M16" s="46"/>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41"/>
      <c r="AT16" s="40"/>
      <c r="AU16" s="109"/>
      <c r="AX16" s="144"/>
      <c r="AY16" s="144"/>
      <c r="AZ16" s="144"/>
      <c r="BA16" s="144"/>
      <c r="BB16" s="144"/>
      <c r="BC16" s="144"/>
      <c r="BD16" s="144"/>
      <c r="BE16" s="139">
        <f t="shared" si="25"/>
        <v>300</v>
      </c>
      <c r="BF16" s="155">
        <f t="shared" si="22"/>
        <v>1.2027615566585608</v>
      </c>
      <c r="BG16" s="153"/>
      <c r="BH16" s="142">
        <f t="shared" si="23"/>
        <v>300</v>
      </c>
      <c r="BI16" s="137">
        <f t="shared" si="24"/>
        <v>975.84850827619175</v>
      </c>
      <c r="BJ16" s="146"/>
      <c r="BK16" s="132"/>
      <c r="BL16" s="132"/>
      <c r="BM16" s="325"/>
      <c r="BN16" s="316" t="s">
        <v>202</v>
      </c>
      <c r="BO16" s="316"/>
      <c r="BP16" s="316" t="s">
        <v>203</v>
      </c>
      <c r="BQ16" s="316"/>
      <c r="BR16" s="327"/>
      <c r="BS16" s="316" t="s">
        <v>202</v>
      </c>
      <c r="BT16" s="316"/>
      <c r="BU16" s="316" t="s">
        <v>203</v>
      </c>
      <c r="BV16" s="316"/>
      <c r="BW16" s="228">
        <v>14</v>
      </c>
      <c r="BX16" s="228">
        <v>500</v>
      </c>
      <c r="BY16" s="132"/>
      <c r="BZ16" s="132"/>
      <c r="CA16" s="132"/>
      <c r="CB16" s="234" t="s">
        <v>261</v>
      </c>
      <c r="CC16" s="132"/>
      <c r="CD16" s="132"/>
      <c r="CE16" s="132"/>
      <c r="CF16" s="132"/>
      <c r="CG16" s="132"/>
      <c r="CH16" s="132"/>
      <c r="CI16" s="132"/>
      <c r="CJ16" s="132"/>
      <c r="CK16" s="132"/>
      <c r="CL16" s="132"/>
      <c r="CM16" s="134"/>
    </row>
    <row r="17" spans="1:91" ht="21" x14ac:dyDescent="0.35">
      <c r="A17" s="308" t="s">
        <v>325</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10"/>
      <c r="AX17" s="144"/>
      <c r="AY17" s="144"/>
      <c r="AZ17" s="144"/>
      <c r="BA17" s="144"/>
      <c r="BB17" s="144"/>
      <c r="BC17" s="144"/>
      <c r="BD17" s="144"/>
      <c r="BE17" s="139">
        <f t="shared" si="25"/>
        <v>400</v>
      </c>
      <c r="BF17" s="155">
        <f t="shared" si="22"/>
        <v>1.6861809877011229</v>
      </c>
      <c r="BG17" s="153"/>
      <c r="BH17" s="142">
        <f t="shared" si="23"/>
        <v>400</v>
      </c>
      <c r="BI17" s="137">
        <f t="shared" si="24"/>
        <v>909.80406493893327</v>
      </c>
      <c r="BJ17" s="146"/>
      <c r="BK17" s="132"/>
      <c r="BL17" s="132"/>
      <c r="BM17" s="325"/>
      <c r="BN17" s="191">
        <v>0</v>
      </c>
      <c r="BO17" s="157">
        <f>BN6</f>
        <v>0</v>
      </c>
      <c r="BP17" s="157">
        <f>BN5</f>
        <v>0</v>
      </c>
      <c r="BQ17" s="191">
        <v>0</v>
      </c>
      <c r="BR17" s="327"/>
      <c r="BS17" s="191">
        <v>0</v>
      </c>
      <c r="BT17" s="157">
        <f>BN12</f>
        <v>0</v>
      </c>
      <c r="BU17" s="157">
        <f>BN11</f>
        <v>0</v>
      </c>
      <c r="BV17" s="191">
        <v>0</v>
      </c>
      <c r="BW17" s="228">
        <v>15</v>
      </c>
      <c r="BX17" s="228">
        <v>525</v>
      </c>
      <c r="BY17" s="132"/>
      <c r="BZ17" s="132"/>
      <c r="CA17" s="132"/>
      <c r="CB17" s="235" t="s">
        <v>262</v>
      </c>
      <c r="CC17" s="132"/>
      <c r="CD17" s="132"/>
      <c r="CE17" s="132"/>
      <c r="CF17" s="132"/>
      <c r="CG17" s="132"/>
      <c r="CH17" s="132"/>
      <c r="CI17" s="132"/>
      <c r="CJ17" s="132"/>
      <c r="CK17" s="132"/>
      <c r="CL17" s="132"/>
      <c r="CM17" s="134"/>
    </row>
    <row r="18" spans="1:91" ht="9.9499999999999993" customHeight="1" x14ac:dyDescent="0.2">
      <c r="A18" s="119"/>
      <c r="B18" s="41"/>
      <c r="C18" s="46"/>
      <c r="D18" s="46"/>
      <c r="E18" s="46"/>
      <c r="F18" s="46"/>
      <c r="G18" s="46"/>
      <c r="H18" s="46"/>
      <c r="I18" s="46"/>
      <c r="J18" s="46"/>
      <c r="K18" s="46"/>
      <c r="L18" s="46"/>
      <c r="M18" s="46"/>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41"/>
      <c r="AT18" s="40"/>
      <c r="AU18" s="109"/>
      <c r="AX18" s="144"/>
      <c r="AY18" s="144"/>
      <c r="AZ18" s="144"/>
      <c r="BA18" s="144"/>
      <c r="BB18" s="144"/>
      <c r="BC18" s="144"/>
      <c r="BD18" s="144"/>
      <c r="BE18" s="139">
        <f t="shared" si="25"/>
        <v>500</v>
      </c>
      <c r="BF18" s="155">
        <f t="shared" si="22"/>
        <v>2.2186927220118831</v>
      </c>
      <c r="BG18" s="153"/>
      <c r="BH18" s="142">
        <f t="shared" si="23"/>
        <v>500</v>
      </c>
      <c r="BI18" s="137">
        <f t="shared" si="24"/>
        <v>847.74145261330375</v>
      </c>
      <c r="BJ18" s="146"/>
      <c r="BK18" s="132"/>
      <c r="BL18" s="132"/>
      <c r="BM18" s="325"/>
      <c r="BN18" s="157">
        <f>BN5</f>
        <v>0</v>
      </c>
      <c r="BO18" s="157">
        <f>BN6</f>
        <v>0</v>
      </c>
      <c r="BP18" s="157">
        <f>BN5</f>
        <v>0</v>
      </c>
      <c r="BQ18" s="157">
        <f>BN6</f>
        <v>0</v>
      </c>
      <c r="BR18" s="328"/>
      <c r="BS18" s="157">
        <f>BN11</f>
        <v>0</v>
      </c>
      <c r="BT18" s="157">
        <f>BN12</f>
        <v>0</v>
      </c>
      <c r="BU18" s="157">
        <f>BN11</f>
        <v>0</v>
      </c>
      <c r="BV18" s="157">
        <f>BN12</f>
        <v>0</v>
      </c>
      <c r="BW18" s="228">
        <v>16</v>
      </c>
      <c r="BX18" s="228">
        <v>550</v>
      </c>
      <c r="BY18" s="132"/>
      <c r="BZ18" s="132"/>
      <c r="CA18" s="132"/>
      <c r="CB18" s="132"/>
      <c r="CC18" s="132"/>
      <c r="CD18" s="132"/>
      <c r="CE18" s="132"/>
      <c r="CF18" s="132"/>
      <c r="CG18" s="132"/>
      <c r="CH18" s="132"/>
      <c r="CI18" s="132"/>
      <c r="CJ18" s="132"/>
      <c r="CK18" s="132"/>
      <c r="CL18" s="132"/>
      <c r="CM18" s="134"/>
    </row>
    <row r="19" spans="1:91" ht="15" x14ac:dyDescent="0.2">
      <c r="A19" s="119"/>
      <c r="B19" s="293" t="s">
        <v>206</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5"/>
      <c r="AU19" s="109"/>
      <c r="AX19" s="144"/>
      <c r="AY19" s="144"/>
      <c r="AZ19" s="144"/>
      <c r="BA19" s="144"/>
      <c r="BB19" s="144"/>
      <c r="BC19" s="144"/>
      <c r="BD19" s="144"/>
      <c r="BE19" s="139">
        <f t="shared" si="25"/>
        <v>600</v>
      </c>
      <c r="BF19" s="155">
        <f t="shared" si="22"/>
        <v>2.8058553453569477</v>
      </c>
      <c r="BG19" s="153"/>
      <c r="BH19" s="142">
        <f t="shared" si="23"/>
        <v>600</v>
      </c>
      <c r="BI19" s="137">
        <f t="shared" si="24"/>
        <v>789.45943475919921</v>
      </c>
      <c r="BJ19" s="146"/>
      <c r="BK19" s="132"/>
      <c r="BL19" s="132"/>
      <c r="BM19" s="325">
        <v>40</v>
      </c>
      <c r="BN19" s="313" t="s">
        <v>204</v>
      </c>
      <c r="BO19" s="314"/>
      <c r="BP19" s="314"/>
      <c r="BQ19" s="315"/>
      <c r="BR19" s="326" t="s">
        <v>239</v>
      </c>
      <c r="BS19" s="313" t="s">
        <v>208</v>
      </c>
      <c r="BT19" s="314"/>
      <c r="BU19" s="314"/>
      <c r="BV19" s="315"/>
      <c r="BW19" s="228">
        <v>17</v>
      </c>
      <c r="BX19" s="228">
        <v>600</v>
      </c>
      <c r="BY19" s="132"/>
      <c r="BZ19" s="132"/>
      <c r="CA19" s="132"/>
      <c r="CB19" s="132"/>
      <c r="CC19" s="132"/>
      <c r="CD19" s="132"/>
      <c r="CE19" s="132"/>
      <c r="CF19" s="132"/>
      <c r="CG19" s="132"/>
      <c r="CH19" s="132"/>
      <c r="CI19" s="132"/>
      <c r="CJ19" s="132"/>
      <c r="CK19" s="132"/>
      <c r="CL19" s="132"/>
      <c r="CM19" s="134"/>
    </row>
    <row r="20" spans="1:91" ht="9.9499999999999993" customHeight="1" x14ac:dyDescent="0.2">
      <c r="A20" s="119"/>
      <c r="B20" s="41"/>
      <c r="C20" s="46"/>
      <c r="D20" s="46"/>
      <c r="E20" s="46"/>
      <c r="F20" s="46"/>
      <c r="G20" s="46"/>
      <c r="H20" s="46"/>
      <c r="I20" s="46"/>
      <c r="J20" s="46"/>
      <c r="K20" s="46"/>
      <c r="L20" s="46"/>
      <c r="M20" s="46"/>
      <c r="N20" s="50"/>
      <c r="O20" s="50"/>
      <c r="P20" s="50"/>
      <c r="Q20" s="50"/>
      <c r="R20" s="50"/>
      <c r="S20" s="50"/>
      <c r="T20" s="50"/>
      <c r="U20" s="50"/>
      <c r="V20" s="50"/>
      <c r="W20" s="50"/>
      <c r="X20" s="55"/>
      <c r="Y20" s="50"/>
      <c r="Z20" s="50"/>
      <c r="AA20" s="50"/>
      <c r="AB20" s="50"/>
      <c r="AC20" s="50"/>
      <c r="AD20" s="50"/>
      <c r="AE20" s="50"/>
      <c r="AF20" s="50"/>
      <c r="AG20" s="50"/>
      <c r="AH20" s="50"/>
      <c r="AI20" s="50"/>
      <c r="AJ20" s="50"/>
      <c r="AK20" s="50"/>
      <c r="AL20" s="50"/>
      <c r="AM20" s="50"/>
      <c r="AN20" s="50"/>
      <c r="AO20" s="50"/>
      <c r="AP20" s="50"/>
      <c r="AQ20" s="50"/>
      <c r="AR20" s="50"/>
      <c r="AS20" s="41"/>
      <c r="AT20" s="40"/>
      <c r="AU20" s="109"/>
      <c r="AX20" s="144"/>
      <c r="AY20" s="144"/>
      <c r="AZ20" s="144"/>
      <c r="BA20" s="144"/>
      <c r="BB20" s="144"/>
      <c r="BC20" s="144"/>
      <c r="BD20" s="144"/>
      <c r="BE20" s="139">
        <f t="shared" si="25"/>
        <v>700</v>
      </c>
      <c r="BF20" s="155">
        <f t="shared" si="22"/>
        <v>3.4538958216054443</v>
      </c>
      <c r="BG20" s="153"/>
      <c r="BH20" s="142">
        <f t="shared" si="23"/>
        <v>700</v>
      </c>
      <c r="BI20" s="137">
        <f t="shared" si="24"/>
        <v>734.76424662586567</v>
      </c>
      <c r="BJ20" s="146"/>
      <c r="BK20" s="132"/>
      <c r="BL20" s="132"/>
      <c r="BM20" s="325"/>
      <c r="BN20" s="316" t="s">
        <v>202</v>
      </c>
      <c r="BO20" s="316"/>
      <c r="BP20" s="316" t="s">
        <v>203</v>
      </c>
      <c r="BQ20" s="316"/>
      <c r="BR20" s="327"/>
      <c r="BS20" s="316" t="s">
        <v>202</v>
      </c>
      <c r="BT20" s="316"/>
      <c r="BU20" s="316" t="s">
        <v>203</v>
      </c>
      <c r="BV20" s="316"/>
      <c r="BW20" s="228">
        <v>18</v>
      </c>
      <c r="BX20" s="228">
        <v>625</v>
      </c>
      <c r="BY20" s="132"/>
      <c r="BZ20" s="132"/>
      <c r="CA20" s="132"/>
      <c r="CB20" s="132"/>
      <c r="CC20" s="132"/>
      <c r="CD20" s="132"/>
      <c r="CE20" s="132"/>
      <c r="CF20" s="132"/>
      <c r="CG20" s="132"/>
      <c r="CH20" s="132"/>
      <c r="CI20" s="132"/>
      <c r="CJ20" s="132"/>
      <c r="CK20" s="132"/>
      <c r="CL20" s="132"/>
      <c r="CM20" s="134"/>
    </row>
    <row r="21" spans="1:91" ht="15" x14ac:dyDescent="0.2">
      <c r="A21" s="119"/>
      <c r="B21" s="322" t="s">
        <v>79</v>
      </c>
      <c r="C21" s="323"/>
      <c r="D21" s="323"/>
      <c r="E21" s="323"/>
      <c r="F21" s="323"/>
      <c r="G21" s="323"/>
      <c r="H21" s="323"/>
      <c r="I21" s="323"/>
      <c r="J21" s="324"/>
      <c r="K21" s="322" t="s">
        <v>192</v>
      </c>
      <c r="L21" s="323"/>
      <c r="M21" s="323"/>
      <c r="N21" s="324"/>
      <c r="O21" s="282" t="s">
        <v>80</v>
      </c>
      <c r="P21" s="283"/>
      <c r="Q21" s="283"/>
      <c r="R21" s="284"/>
      <c r="S21" s="282" t="s">
        <v>191</v>
      </c>
      <c r="T21" s="283"/>
      <c r="U21" s="283"/>
      <c r="V21" s="284"/>
      <c r="W21" s="285" t="s">
        <v>81</v>
      </c>
      <c r="X21" s="285"/>
      <c r="Y21" s="285"/>
      <c r="Z21" s="285"/>
      <c r="AA21" s="40"/>
      <c r="AB21" s="40"/>
      <c r="AC21" s="40"/>
      <c r="AD21" s="40"/>
      <c r="AE21" s="40"/>
      <c r="AF21" s="40"/>
      <c r="AG21" s="40"/>
      <c r="AH21" s="8"/>
      <c r="AI21" s="8"/>
      <c r="AJ21" s="41"/>
      <c r="AK21" s="8"/>
      <c r="AL21" s="8"/>
      <c r="AM21" s="41"/>
      <c r="AN21" s="8"/>
      <c r="AO21" s="8"/>
      <c r="AP21" s="41"/>
      <c r="AQ21" s="8"/>
      <c r="AR21" s="8"/>
      <c r="AS21" s="41"/>
      <c r="AT21" s="8"/>
      <c r="AU21" s="120"/>
      <c r="AV21" s="158"/>
      <c r="AW21" s="159"/>
      <c r="AX21" s="160"/>
      <c r="AY21" s="161"/>
      <c r="AZ21" s="144"/>
      <c r="BA21" s="144"/>
      <c r="BB21" s="144"/>
      <c r="BC21" s="144"/>
      <c r="BD21" s="144"/>
      <c r="BE21" s="139">
        <f t="shared" si="25"/>
        <v>800</v>
      </c>
      <c r="BF21" s="155">
        <f t="shared" si="22"/>
        <v>4.1697929988286724</v>
      </c>
      <c r="BG21" s="162"/>
      <c r="BH21" s="142">
        <f t="shared" si="23"/>
        <v>800</v>
      </c>
      <c r="BI21" s="137">
        <f t="shared" si="24"/>
        <v>683.4694645618747</v>
      </c>
      <c r="BJ21" s="146"/>
      <c r="BK21" s="132"/>
      <c r="BL21" s="132"/>
      <c r="BM21" s="325"/>
      <c r="BN21" s="191">
        <v>0</v>
      </c>
      <c r="BO21" s="157">
        <f>BO6</f>
        <v>0</v>
      </c>
      <c r="BP21" s="157">
        <f>BO5</f>
        <v>0</v>
      </c>
      <c r="BQ21" s="191">
        <v>0</v>
      </c>
      <c r="BR21" s="327"/>
      <c r="BS21" s="191">
        <v>0</v>
      </c>
      <c r="BT21" s="157" t="str">
        <f>BO12</f>
        <v>N/A</v>
      </c>
      <c r="BU21" s="157" t="str">
        <f>BO11</f>
        <v>N/A</v>
      </c>
      <c r="BV21" s="191">
        <v>0</v>
      </c>
      <c r="BW21" s="228">
        <v>19</v>
      </c>
      <c r="BX21" s="228">
        <v>650</v>
      </c>
      <c r="BY21" s="132"/>
      <c r="BZ21" s="132"/>
      <c r="CA21" s="132"/>
      <c r="CB21" s="132"/>
      <c r="CC21" s="132"/>
      <c r="CD21" s="132"/>
      <c r="CE21" s="132"/>
      <c r="CF21" s="132"/>
      <c r="CG21" s="132"/>
      <c r="CH21" s="132"/>
      <c r="CI21" s="132"/>
      <c r="CJ21" s="132"/>
      <c r="CK21" s="132"/>
      <c r="CL21" s="132"/>
      <c r="CM21" s="134"/>
    </row>
    <row r="22" spans="1:91" ht="15" customHeight="1" x14ac:dyDescent="0.25">
      <c r="A22" s="119"/>
      <c r="B22" s="299" t="s">
        <v>82</v>
      </c>
      <c r="C22" s="300"/>
      <c r="D22" s="300"/>
      <c r="E22" s="300"/>
      <c r="F22" s="300"/>
      <c r="G22" s="301"/>
      <c r="H22" s="286" t="s">
        <v>65</v>
      </c>
      <c r="I22" s="279"/>
      <c r="J22" s="280"/>
      <c r="K22" s="271" t="s">
        <v>115</v>
      </c>
      <c r="L22" s="272"/>
      <c r="M22" s="272"/>
      <c r="N22" s="273"/>
      <c r="O22" s="271">
        <v>100</v>
      </c>
      <c r="P22" s="272"/>
      <c r="Q22" s="272"/>
      <c r="R22" s="273"/>
      <c r="S22" s="289">
        <v>0.2</v>
      </c>
      <c r="T22" s="290"/>
      <c r="U22" s="290"/>
      <c r="V22" s="291"/>
      <c r="W22" s="292">
        <f>IF($AL$15="Left Turn Lane",IF(K22="No","N/A",ROUNDUP(O22*(1+S22*($BL$36-1)),0.1)),"N/A")</f>
        <v>130</v>
      </c>
      <c r="X22" s="292"/>
      <c r="Y22" s="292"/>
      <c r="Z22" s="292"/>
      <c r="AA22" s="40"/>
      <c r="AB22" s="40"/>
      <c r="AC22" s="40"/>
      <c r="AD22" s="40"/>
      <c r="AE22" s="40"/>
      <c r="AF22" s="40"/>
      <c r="AG22" s="40"/>
      <c r="AH22" s="40"/>
      <c r="AI22" s="40"/>
      <c r="AJ22" s="40"/>
      <c r="AK22" s="40"/>
      <c r="AL22" s="5"/>
      <c r="AM22" s="5"/>
      <c r="AN22" s="10" t="s">
        <v>195</v>
      </c>
      <c r="AO22" s="356">
        <f>IF(AL15="Left Turn Lane",SUM(W22:Z24),"N/A")</f>
        <v>1014</v>
      </c>
      <c r="AP22" s="357"/>
      <c r="AQ22" s="357"/>
      <c r="AR22" s="357"/>
      <c r="AS22" s="357"/>
      <c r="AT22" s="358"/>
      <c r="AU22" s="121"/>
      <c r="AV22" s="163"/>
      <c r="AW22" s="158"/>
      <c r="AX22" s="164"/>
      <c r="AY22" s="164"/>
      <c r="AZ22" s="144"/>
      <c r="BA22" s="144"/>
      <c r="BB22" s="144"/>
      <c r="BC22" s="144"/>
      <c r="BD22" s="144"/>
      <c r="BE22" s="165"/>
      <c r="BF22" s="146"/>
      <c r="BG22" s="146"/>
      <c r="BH22" s="146"/>
      <c r="BI22" s="146"/>
      <c r="BJ22" s="146"/>
      <c r="BK22" s="132"/>
      <c r="BL22" s="132"/>
      <c r="BM22" s="325"/>
      <c r="BN22" s="157">
        <f>BO5</f>
        <v>0</v>
      </c>
      <c r="BO22" s="157">
        <f>BO6</f>
        <v>0</v>
      </c>
      <c r="BP22" s="157">
        <f>BO5</f>
        <v>0</v>
      </c>
      <c r="BQ22" s="157">
        <f>BO6</f>
        <v>0</v>
      </c>
      <c r="BR22" s="328"/>
      <c r="BS22" s="157" t="str">
        <f>BO11</f>
        <v>N/A</v>
      </c>
      <c r="BT22" s="157" t="str">
        <f>BO12</f>
        <v>N/A</v>
      </c>
      <c r="BU22" s="157" t="str">
        <f>BO11</f>
        <v>N/A</v>
      </c>
      <c r="BV22" s="157" t="str">
        <f>BO12</f>
        <v>N/A</v>
      </c>
      <c r="BW22" s="228">
        <v>20</v>
      </c>
      <c r="BX22" s="228">
        <v>675</v>
      </c>
      <c r="BY22" s="132"/>
      <c r="BZ22" s="132"/>
      <c r="CA22" s="132"/>
      <c r="CB22" s="132"/>
      <c r="CC22" s="132"/>
      <c r="CD22" s="132"/>
      <c r="CE22" s="132"/>
      <c r="CF22" s="132"/>
      <c r="CG22" s="132"/>
      <c r="CH22" s="132"/>
      <c r="CI22" s="132"/>
      <c r="CJ22" s="132"/>
      <c r="CK22" s="132"/>
      <c r="CL22" s="132"/>
      <c r="CM22" s="134"/>
    </row>
    <row r="23" spans="1:91" ht="15.75" customHeight="1" x14ac:dyDescent="0.25">
      <c r="A23" s="119"/>
      <c r="B23" s="302"/>
      <c r="C23" s="303"/>
      <c r="D23" s="303"/>
      <c r="E23" s="303"/>
      <c r="F23" s="303"/>
      <c r="G23" s="304"/>
      <c r="H23" s="286" t="s">
        <v>66</v>
      </c>
      <c r="I23" s="279"/>
      <c r="J23" s="280"/>
      <c r="K23" s="278" t="s">
        <v>193</v>
      </c>
      <c r="L23" s="279"/>
      <c r="M23" s="279"/>
      <c r="N23" s="280"/>
      <c r="O23" s="271">
        <v>680</v>
      </c>
      <c r="P23" s="272"/>
      <c r="Q23" s="272"/>
      <c r="R23" s="273"/>
      <c r="S23" s="289">
        <v>0.2</v>
      </c>
      <c r="T23" s="290"/>
      <c r="U23" s="290"/>
      <c r="V23" s="291"/>
      <c r="W23" s="292">
        <f>IF($AL$15="Left Turn Lane",IF(K23="No","N/A",ROUNDUP(O23*(1+S23*($BL$36-1)),0.1)),"N/A")</f>
        <v>884</v>
      </c>
      <c r="X23" s="292"/>
      <c r="Y23" s="292"/>
      <c r="Z23" s="292"/>
      <c r="AA23" s="40"/>
      <c r="AB23" s="40"/>
      <c r="AC23" s="40"/>
      <c r="AD23" s="40"/>
      <c r="AE23" s="40"/>
      <c r="AF23" s="40"/>
      <c r="AG23" s="40"/>
      <c r="AH23" s="50"/>
      <c r="AI23" s="50"/>
      <c r="AJ23" s="50"/>
      <c r="AK23" s="50"/>
      <c r="AL23" s="5"/>
      <c r="AM23" s="5"/>
      <c r="AN23" s="10" t="s">
        <v>196</v>
      </c>
      <c r="AO23" s="356">
        <f>IF(AL15="Left Turn Lane",SUM(W25:Z27),"N/A")</f>
        <v>650</v>
      </c>
      <c r="AP23" s="357"/>
      <c r="AQ23" s="357"/>
      <c r="AR23" s="357"/>
      <c r="AS23" s="357"/>
      <c r="AT23" s="358"/>
      <c r="AU23" s="121"/>
      <c r="AV23" s="163"/>
      <c r="AW23" s="158"/>
      <c r="AX23" s="164"/>
      <c r="AY23" s="164"/>
      <c r="AZ23" s="144"/>
      <c r="BA23" s="144"/>
      <c r="BB23" s="144"/>
      <c r="BC23" s="144"/>
      <c r="BD23" s="144"/>
      <c r="BE23" s="165"/>
      <c r="BF23" s="146"/>
      <c r="BG23" s="146"/>
      <c r="BH23" s="146"/>
      <c r="BI23" s="146"/>
      <c r="BJ23" s="146"/>
      <c r="BK23" s="132"/>
      <c r="BL23" s="132"/>
      <c r="BM23" s="325">
        <v>45</v>
      </c>
      <c r="BN23" s="313" t="s">
        <v>204</v>
      </c>
      <c r="BO23" s="314"/>
      <c r="BP23" s="314"/>
      <c r="BQ23" s="315"/>
      <c r="BR23" s="326" t="s">
        <v>238</v>
      </c>
      <c r="BS23" s="313" t="s">
        <v>208</v>
      </c>
      <c r="BT23" s="314"/>
      <c r="BU23" s="314"/>
      <c r="BV23" s="315"/>
      <c r="BW23" s="228">
        <v>21</v>
      </c>
      <c r="BX23" s="228">
        <v>725</v>
      </c>
      <c r="BY23" s="132"/>
      <c r="BZ23" s="132"/>
      <c r="CA23" s="132"/>
      <c r="CB23" s="132"/>
      <c r="CC23" s="132"/>
      <c r="CD23" s="132"/>
      <c r="CE23" s="132"/>
      <c r="CF23" s="132"/>
      <c r="CG23" s="132"/>
      <c r="CH23" s="132"/>
      <c r="CI23" s="132"/>
      <c r="CJ23" s="132"/>
      <c r="CK23" s="132"/>
      <c r="CL23" s="132"/>
      <c r="CM23" s="134"/>
    </row>
    <row r="24" spans="1:91" ht="15" x14ac:dyDescent="0.25">
      <c r="A24" s="112"/>
      <c r="B24" s="305"/>
      <c r="C24" s="306"/>
      <c r="D24" s="306"/>
      <c r="E24" s="306"/>
      <c r="F24" s="306"/>
      <c r="G24" s="307"/>
      <c r="H24" s="286" t="s">
        <v>67</v>
      </c>
      <c r="I24" s="279"/>
      <c r="J24" s="280"/>
      <c r="K24" s="271" t="s">
        <v>115</v>
      </c>
      <c r="L24" s="272"/>
      <c r="M24" s="272"/>
      <c r="N24" s="273"/>
      <c r="O24" s="271">
        <v>0</v>
      </c>
      <c r="P24" s="272"/>
      <c r="Q24" s="272"/>
      <c r="R24" s="273"/>
      <c r="S24" s="289">
        <v>0</v>
      </c>
      <c r="T24" s="290"/>
      <c r="U24" s="290"/>
      <c r="V24" s="291"/>
      <c r="W24" s="292">
        <f t="shared" ref="W24:W27" si="26">IF($AL$15="Left Turn Lane",IF(K24="No","N/A",ROUNDUP(O24*(1+S24*($BL$36-1)),0.1)),"N/A")</f>
        <v>0</v>
      </c>
      <c r="X24" s="292"/>
      <c r="Y24" s="292"/>
      <c r="Z24" s="292"/>
      <c r="AA24" s="40"/>
      <c r="AB24" s="40"/>
      <c r="AC24" s="40"/>
      <c r="AD24" s="40"/>
      <c r="AE24" s="40"/>
      <c r="AF24" s="40"/>
      <c r="AG24" s="40"/>
      <c r="AH24" s="40"/>
      <c r="AI24" s="40"/>
      <c r="AJ24" s="40"/>
      <c r="AK24" s="40"/>
      <c r="AL24" s="5"/>
      <c r="AM24" s="5"/>
      <c r="AN24" s="10" t="s">
        <v>197</v>
      </c>
      <c r="AO24" s="356">
        <f>IF(AL15="Left Turn Lane",W22,"N/A")</f>
        <v>130</v>
      </c>
      <c r="AP24" s="357"/>
      <c r="AQ24" s="357"/>
      <c r="AR24" s="357"/>
      <c r="AS24" s="357"/>
      <c r="AT24" s="358"/>
      <c r="AU24" s="122"/>
      <c r="AV24" s="158"/>
      <c r="AW24" s="158"/>
      <c r="AX24" s="144"/>
      <c r="AY24" s="166"/>
      <c r="AZ24" s="166"/>
      <c r="BA24" s="166"/>
      <c r="BB24" s="166"/>
      <c r="BC24" s="166"/>
      <c r="BD24" s="166"/>
      <c r="BE24" s="167" t="s">
        <v>228</v>
      </c>
      <c r="BF24" s="168" t="str">
        <f>IF(AND($N$14&lt;=35,$AL$11=1),$AO$27,"N/A")</f>
        <v>N/A</v>
      </c>
      <c r="BG24" s="168" t="str">
        <f>IF(AND($N$14=40,$AL$11=1),$AO$27,"N/A")</f>
        <v>N/A</v>
      </c>
      <c r="BH24" s="168" t="str">
        <f>IF(AND($N$14=45,$AL$11=1),$AO$27,"N/A")</f>
        <v>N/A</v>
      </c>
      <c r="BI24" s="168">
        <f>IF(AND($N$14=50,$AL$11=1),$AO$27,"N/A")</f>
        <v>0.12820512820512819</v>
      </c>
      <c r="BJ24" s="168" t="str">
        <f>IF(AND($N$14=55,$AL$11=1),$AO$27,"N/A")</f>
        <v>N/A</v>
      </c>
      <c r="BK24" s="168" t="str">
        <f>IF(AND($N$14=60,$AL$11=1),$AO$27,"N/A")</f>
        <v>N/A</v>
      </c>
      <c r="BL24" s="132"/>
      <c r="BM24" s="325"/>
      <c r="BN24" s="316" t="s">
        <v>202</v>
      </c>
      <c r="BO24" s="316"/>
      <c r="BP24" s="316" t="s">
        <v>203</v>
      </c>
      <c r="BQ24" s="316"/>
      <c r="BR24" s="327"/>
      <c r="BS24" s="316" t="s">
        <v>202</v>
      </c>
      <c r="BT24" s="316"/>
      <c r="BU24" s="316" t="s">
        <v>203</v>
      </c>
      <c r="BV24" s="316"/>
      <c r="BW24" s="228">
        <v>22</v>
      </c>
      <c r="BX24" s="228">
        <v>750</v>
      </c>
      <c r="BY24" s="132"/>
      <c r="BZ24" s="132"/>
      <c r="CA24" s="132"/>
      <c r="CB24" s="132"/>
      <c r="CC24" s="132"/>
      <c r="CD24" s="132"/>
      <c r="CE24" s="132"/>
      <c r="CF24" s="132"/>
      <c r="CG24" s="132"/>
      <c r="CH24" s="132"/>
      <c r="CI24" s="132"/>
      <c r="CJ24" s="132"/>
      <c r="CK24" s="132"/>
      <c r="CL24" s="132"/>
      <c r="CM24" s="134"/>
    </row>
    <row r="25" spans="1:91" ht="15" customHeight="1" x14ac:dyDescent="0.2">
      <c r="A25" s="112"/>
      <c r="B25" s="299" t="s">
        <v>83</v>
      </c>
      <c r="C25" s="300"/>
      <c r="D25" s="300"/>
      <c r="E25" s="300"/>
      <c r="F25" s="300"/>
      <c r="G25" s="301"/>
      <c r="H25" s="286" t="s">
        <v>65</v>
      </c>
      <c r="I25" s="279"/>
      <c r="J25" s="280"/>
      <c r="K25" s="271" t="s">
        <v>115</v>
      </c>
      <c r="L25" s="272"/>
      <c r="M25" s="272"/>
      <c r="N25" s="273"/>
      <c r="O25" s="271">
        <v>0</v>
      </c>
      <c r="P25" s="272"/>
      <c r="Q25" s="272"/>
      <c r="R25" s="273"/>
      <c r="S25" s="289">
        <v>0</v>
      </c>
      <c r="T25" s="290"/>
      <c r="U25" s="290"/>
      <c r="V25" s="291"/>
      <c r="W25" s="292">
        <f t="shared" si="26"/>
        <v>0</v>
      </c>
      <c r="X25" s="292"/>
      <c r="Y25" s="292"/>
      <c r="Z25" s="292"/>
      <c r="AA25" s="40"/>
      <c r="AB25" s="40"/>
      <c r="AC25" s="40"/>
      <c r="AD25" s="40"/>
      <c r="AE25" s="40"/>
      <c r="AF25" s="40"/>
      <c r="AG25" s="40"/>
      <c r="AH25" s="51"/>
      <c r="AI25" s="51"/>
      <c r="AJ25" s="51"/>
      <c r="AK25" s="51"/>
      <c r="AL25" s="5"/>
      <c r="AM25" s="5"/>
      <c r="AN25" s="51"/>
      <c r="AO25" s="51"/>
      <c r="AP25" s="51"/>
      <c r="AQ25" s="44"/>
      <c r="AR25" s="44"/>
      <c r="AS25" s="44"/>
      <c r="AT25" s="47"/>
      <c r="AU25" s="122"/>
      <c r="AV25" s="158"/>
      <c r="AW25" s="158"/>
      <c r="BE25" s="167" t="s">
        <v>73</v>
      </c>
      <c r="BF25" s="136">
        <v>35</v>
      </c>
      <c r="BG25" s="136">
        <v>40</v>
      </c>
      <c r="BH25" s="136">
        <v>45</v>
      </c>
      <c r="BI25" s="136">
        <v>50</v>
      </c>
      <c r="BJ25" s="136">
        <v>55</v>
      </c>
      <c r="BK25" s="136">
        <v>60</v>
      </c>
      <c r="BL25" s="132"/>
      <c r="BM25" s="325"/>
      <c r="BN25" s="157">
        <v>0</v>
      </c>
      <c r="BO25" s="157">
        <f>BP6</f>
        <v>0</v>
      </c>
      <c r="BP25" s="157">
        <f>BP5</f>
        <v>0</v>
      </c>
      <c r="BQ25" s="191">
        <v>0</v>
      </c>
      <c r="BR25" s="327"/>
      <c r="BS25" s="191">
        <v>0</v>
      </c>
      <c r="BT25" s="157">
        <f>BP12</f>
        <v>0</v>
      </c>
      <c r="BU25" s="157">
        <f>BP11</f>
        <v>0</v>
      </c>
      <c r="BV25" s="191">
        <v>0</v>
      </c>
      <c r="BW25" s="228">
        <v>23</v>
      </c>
      <c r="BX25" s="228">
        <v>775</v>
      </c>
      <c r="BY25" s="132"/>
      <c r="BZ25" s="132"/>
      <c r="CA25" s="132"/>
      <c r="CB25" s="132"/>
      <c r="CC25" s="132"/>
      <c r="CD25" s="132"/>
      <c r="CE25" s="132"/>
      <c r="CF25" s="132"/>
      <c r="CG25" s="132"/>
      <c r="CH25" s="132"/>
      <c r="CI25" s="132"/>
      <c r="CJ25" s="132"/>
      <c r="CK25" s="132"/>
      <c r="CL25" s="132"/>
      <c r="CM25" s="134"/>
    </row>
    <row r="26" spans="1:91" ht="15" x14ac:dyDescent="0.2">
      <c r="A26" s="112"/>
      <c r="B26" s="302"/>
      <c r="C26" s="303"/>
      <c r="D26" s="303"/>
      <c r="E26" s="303"/>
      <c r="F26" s="303"/>
      <c r="G26" s="304"/>
      <c r="H26" s="286" t="s">
        <v>66</v>
      </c>
      <c r="I26" s="279"/>
      <c r="J26" s="280"/>
      <c r="K26" s="278" t="s">
        <v>193</v>
      </c>
      <c r="L26" s="279"/>
      <c r="M26" s="279"/>
      <c r="N26" s="280"/>
      <c r="O26" s="271">
        <v>500</v>
      </c>
      <c r="P26" s="272"/>
      <c r="Q26" s="272"/>
      <c r="R26" s="273"/>
      <c r="S26" s="289">
        <v>0.2</v>
      </c>
      <c r="T26" s="290"/>
      <c r="U26" s="290"/>
      <c r="V26" s="291"/>
      <c r="W26" s="292">
        <f t="shared" si="26"/>
        <v>650</v>
      </c>
      <c r="X26" s="292"/>
      <c r="Y26" s="292"/>
      <c r="Z26" s="292"/>
      <c r="AA26" s="40"/>
      <c r="AB26" s="40"/>
      <c r="AC26" s="40"/>
      <c r="AD26" s="40"/>
      <c r="AE26" s="40"/>
      <c r="AF26" s="40"/>
      <c r="AG26" s="40"/>
      <c r="AH26" s="40"/>
      <c r="AI26" s="40"/>
      <c r="AJ26" s="40"/>
      <c r="AK26" s="40"/>
      <c r="AL26" s="5"/>
      <c r="AM26" s="5"/>
      <c r="AN26" s="5"/>
      <c r="AO26" s="5"/>
      <c r="AP26" s="5"/>
      <c r="AQ26" s="5"/>
      <c r="AR26" s="5"/>
      <c r="AS26" s="5"/>
      <c r="AT26" s="5"/>
      <c r="AU26" s="109"/>
      <c r="AV26" s="169"/>
      <c r="AW26" s="169"/>
      <c r="BE26" s="139" t="s">
        <v>225</v>
      </c>
      <c r="BF26" s="139" t="s">
        <v>244</v>
      </c>
      <c r="BG26" s="139" t="s">
        <v>244</v>
      </c>
      <c r="BH26" s="139" t="s">
        <v>244</v>
      </c>
      <c r="BI26" s="139" t="s">
        <v>244</v>
      </c>
      <c r="BJ26" s="139" t="s">
        <v>244</v>
      </c>
      <c r="BK26" s="139" t="s">
        <v>244</v>
      </c>
      <c r="BL26" s="132"/>
      <c r="BM26" s="325"/>
      <c r="BN26" s="157">
        <f>BP5</f>
        <v>0</v>
      </c>
      <c r="BO26" s="157">
        <f>BP6</f>
        <v>0</v>
      </c>
      <c r="BP26" s="157">
        <f>BP5</f>
        <v>0</v>
      </c>
      <c r="BQ26" s="157">
        <f>BP6</f>
        <v>0</v>
      </c>
      <c r="BR26" s="328"/>
      <c r="BS26" s="157">
        <f>BP11</f>
        <v>0</v>
      </c>
      <c r="BT26" s="157">
        <f>BP12</f>
        <v>0</v>
      </c>
      <c r="BU26" s="157">
        <f>BP11</f>
        <v>0</v>
      </c>
      <c r="BV26" s="157">
        <f>BP12</f>
        <v>0</v>
      </c>
      <c r="BW26" s="228">
        <v>24</v>
      </c>
      <c r="BX26" s="228">
        <v>800</v>
      </c>
      <c r="BY26" s="132"/>
      <c r="BZ26" s="132"/>
      <c r="CA26" s="132"/>
      <c r="CB26" s="132"/>
      <c r="CC26" s="132"/>
      <c r="CD26" s="132"/>
      <c r="CE26" s="132"/>
      <c r="CF26" s="132"/>
      <c r="CG26" s="132"/>
      <c r="CH26" s="132"/>
      <c r="CI26" s="132"/>
      <c r="CJ26" s="132"/>
      <c r="CK26" s="132"/>
      <c r="CL26" s="132"/>
      <c r="CM26" s="134"/>
    </row>
    <row r="27" spans="1:91" ht="15" customHeight="1" x14ac:dyDescent="0.25">
      <c r="A27" s="112"/>
      <c r="B27" s="305"/>
      <c r="C27" s="306"/>
      <c r="D27" s="306"/>
      <c r="E27" s="306"/>
      <c r="F27" s="306"/>
      <c r="G27" s="307"/>
      <c r="H27" s="286" t="s">
        <v>67</v>
      </c>
      <c r="I27" s="279"/>
      <c r="J27" s="280"/>
      <c r="K27" s="321" t="s">
        <v>115</v>
      </c>
      <c r="L27" s="272"/>
      <c r="M27" s="272"/>
      <c r="N27" s="273"/>
      <c r="O27" s="271">
        <v>0</v>
      </c>
      <c r="P27" s="272"/>
      <c r="Q27" s="272"/>
      <c r="R27" s="273"/>
      <c r="S27" s="289">
        <v>0</v>
      </c>
      <c r="T27" s="290"/>
      <c r="U27" s="290"/>
      <c r="V27" s="291"/>
      <c r="W27" s="292">
        <f t="shared" si="26"/>
        <v>0</v>
      </c>
      <c r="X27" s="292"/>
      <c r="Y27" s="292"/>
      <c r="Z27" s="292"/>
      <c r="AA27" s="40"/>
      <c r="AB27" s="40"/>
      <c r="AC27" s="40"/>
      <c r="AD27" s="40"/>
      <c r="AE27" s="40"/>
      <c r="AF27" s="40"/>
      <c r="AG27" s="40"/>
      <c r="AH27" s="40"/>
      <c r="AI27" s="40"/>
      <c r="AJ27" s="40"/>
      <c r="AK27" s="40"/>
      <c r="AL27" s="40"/>
      <c r="AM27" s="40"/>
      <c r="AN27" s="10" t="s">
        <v>199</v>
      </c>
      <c r="AO27" s="359">
        <f>IF(AL15="Left Turn Lane",AO24/AO22,"N/A")</f>
        <v>0.12820512820512819</v>
      </c>
      <c r="AP27" s="360"/>
      <c r="AQ27" s="360"/>
      <c r="AR27" s="360"/>
      <c r="AS27" s="360"/>
      <c r="AT27" s="361"/>
      <c r="AU27" s="109"/>
      <c r="AV27" s="169"/>
      <c r="AW27" s="169"/>
      <c r="BE27" s="142">
        <f t="shared" ref="BE27:BE34" si="27">BE14</f>
        <v>100</v>
      </c>
      <c r="BF27" s="142">
        <f>IF(AND($N$14&lt;=35,$AL$11=1),SQRT($BF$7*2400*$BI14/$BF$24/(1-$BF$24)/($BF14+$BJ$6)),0)</f>
        <v>0</v>
      </c>
      <c r="BG27" s="142">
        <f>IF(AND($N$14=40,$AL$11=1),SQRT($BF$7*2400*$BI14/$BG$24/(1-$BG$24)/($BF14+$BJ$6)),0)</f>
        <v>0</v>
      </c>
      <c r="BH27" s="142">
        <f>IF(AND($N$14=45,$AL$11=1),SQRT($BF$7*2400*$BI14/$BH$24/(1-$BH$24)/($BF14+$BJ$6)),0)</f>
        <v>0</v>
      </c>
      <c r="BI27" s="142">
        <f>IF(AND($N$14=50,$AL$11=1),SQRT($BF$7*2400*$BI14/$BI$24/(1-$BI$24)/($BF14+$BJ$6)),0)</f>
        <v>399.31464900961328</v>
      </c>
      <c r="BJ27" s="142">
        <f>IF(AND($N$14=55,$AL$11=1),SQRT($BF$7*2400*$BI14/$BJ$24/(1-$BJ$24)/($BF14+$BJ$6)),0)</f>
        <v>0</v>
      </c>
      <c r="BK27" s="142">
        <f>IF(AND($N$14=60,$AL$11=1),SQRT($BF$7*2400*$BI14/$BK$24/(1-$BK$24)/($BF14+$BJ$6)),0)</f>
        <v>0</v>
      </c>
      <c r="BL27" s="132"/>
      <c r="BM27" s="325">
        <v>50</v>
      </c>
      <c r="BN27" s="313" t="s">
        <v>204</v>
      </c>
      <c r="BO27" s="314"/>
      <c r="BP27" s="314"/>
      <c r="BQ27" s="315"/>
      <c r="BR27" s="326" t="s">
        <v>242</v>
      </c>
      <c r="BS27" s="313" t="s">
        <v>208</v>
      </c>
      <c r="BT27" s="314"/>
      <c r="BU27" s="314"/>
      <c r="BV27" s="315"/>
      <c r="BW27" s="228">
        <v>25</v>
      </c>
      <c r="BX27" s="228">
        <v>825</v>
      </c>
      <c r="BY27" s="132"/>
      <c r="BZ27" s="132"/>
      <c r="CA27" s="132"/>
      <c r="CB27" s="132"/>
      <c r="CC27" s="132"/>
      <c r="CD27" s="132"/>
      <c r="CE27" s="132"/>
      <c r="CF27" s="132"/>
      <c r="CG27" s="132"/>
      <c r="CH27" s="132"/>
      <c r="CI27" s="132"/>
      <c r="CJ27" s="132"/>
      <c r="CK27" s="132"/>
      <c r="CL27" s="132"/>
      <c r="CM27" s="134"/>
    </row>
    <row r="28" spans="1:91" ht="9.9499999999999993" customHeight="1" x14ac:dyDescent="0.2">
      <c r="A28" s="112"/>
      <c r="B28" s="67"/>
      <c r="C28" s="67"/>
      <c r="D28" s="67"/>
      <c r="E28" s="67"/>
      <c r="F28" s="67"/>
      <c r="G28" s="67"/>
      <c r="H28" s="57"/>
      <c r="I28" s="57"/>
      <c r="J28" s="57"/>
      <c r="K28" s="58"/>
      <c r="L28" s="58"/>
      <c r="M28" s="58"/>
      <c r="N28" s="58"/>
      <c r="O28" s="58"/>
      <c r="P28" s="58"/>
      <c r="Q28" s="58"/>
      <c r="R28" s="58"/>
      <c r="S28" s="59"/>
      <c r="T28" s="59"/>
      <c r="U28" s="59"/>
      <c r="V28" s="59"/>
      <c r="W28" s="57"/>
      <c r="X28" s="60"/>
      <c r="Y28" s="57"/>
      <c r="Z28" s="57"/>
      <c r="AA28" s="42"/>
      <c r="AB28" s="42"/>
      <c r="AC28" s="42"/>
      <c r="AD28" s="42"/>
      <c r="AE28" s="42"/>
      <c r="AF28" s="42"/>
      <c r="AG28" s="42"/>
      <c r="AH28" s="42"/>
      <c r="AI28" s="42"/>
      <c r="AJ28" s="42"/>
      <c r="AK28" s="42"/>
      <c r="AL28" s="42"/>
      <c r="AM28" s="42"/>
      <c r="AN28" s="42"/>
      <c r="AO28" s="42"/>
      <c r="AP28" s="42"/>
      <c r="AQ28" s="42"/>
      <c r="AR28" s="42"/>
      <c r="AS28" s="42"/>
      <c r="AT28" s="42"/>
      <c r="AU28" s="109"/>
      <c r="AV28" s="169"/>
      <c r="AW28" s="169"/>
      <c r="BE28" s="142">
        <f t="shared" si="27"/>
        <v>200</v>
      </c>
      <c r="BF28" s="142">
        <f t="shared" ref="BF28:BF34" si="28">IF(AND($N$14&lt;=35,$AL$11=1),SQRT($BF$7*2400*$BI15/$BF$24/(1-$BF$24)/($BF15+$BJ$6)),0)</f>
        <v>0</v>
      </c>
      <c r="BG28" s="142">
        <f t="shared" ref="BG28:BG34" si="29">IF(AND($N$14=40,$AL$11=1),SQRT($BF$7*2400*$BI15/$BG$24/(1-$BG$24)/($BF15+$BJ$6)),0)</f>
        <v>0</v>
      </c>
      <c r="BH28" s="142">
        <f t="shared" ref="BH28:BH34" si="30">IF(AND($N$14=45,$AL$11=1),SQRT($BF$7*2400*$BI15/$BH$24/(1-$BH$24)/($BF15+$BJ$6)),0)</f>
        <v>0</v>
      </c>
      <c r="BI28" s="142">
        <f t="shared" ref="BI28:BI34" si="31">IF(AND($N$14=50,$AL$11=1),SQRT($BF$7*2400*$BI15/$BI$24/(1-$BI$24)/($BF15+$BJ$6)),0)</f>
        <v>355.6728193091443</v>
      </c>
      <c r="BJ28" s="142">
        <f t="shared" ref="BJ28:BJ34" si="32">IF(AND($N$14=55,$AL$11=1),SQRT($BF$7*2400*$BI15/$BJ$24/(1-$BJ$24)/($BF15+$BJ$6)),0)</f>
        <v>0</v>
      </c>
      <c r="BK28" s="142">
        <f t="shared" ref="BK28:BK34" si="33">IF(AND($N$14=60,$AL$11=1),SQRT($BF$7*2400*$BI15/$BK$24/(1-$BK$24)/($BF15+$BJ$6)),0)</f>
        <v>0</v>
      </c>
      <c r="BL28" s="132"/>
      <c r="BM28" s="325"/>
      <c r="BN28" s="316" t="s">
        <v>202</v>
      </c>
      <c r="BO28" s="316"/>
      <c r="BP28" s="316" t="s">
        <v>203</v>
      </c>
      <c r="BQ28" s="316"/>
      <c r="BR28" s="327"/>
      <c r="BS28" s="316" t="s">
        <v>202</v>
      </c>
      <c r="BT28" s="316"/>
      <c r="BU28" s="316" t="s">
        <v>203</v>
      </c>
      <c r="BV28" s="316"/>
      <c r="BW28" s="228">
        <v>30</v>
      </c>
      <c r="BX28" s="228">
        <v>975</v>
      </c>
      <c r="BY28" s="132"/>
      <c r="BZ28" s="132"/>
      <c r="CA28" s="132"/>
      <c r="CB28" s="132"/>
      <c r="CC28" s="132"/>
      <c r="CD28" s="132"/>
      <c r="CE28" s="132"/>
      <c r="CF28" s="132"/>
      <c r="CG28" s="132"/>
      <c r="CH28" s="132"/>
      <c r="CI28" s="132"/>
      <c r="CJ28" s="132"/>
      <c r="CK28" s="132"/>
      <c r="CL28" s="132"/>
      <c r="CM28" s="134"/>
    </row>
    <row r="29" spans="1:91" ht="15" x14ac:dyDescent="0.2">
      <c r="A29" s="112"/>
      <c r="B29" s="293" t="s">
        <v>205</v>
      </c>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5"/>
      <c r="AU29" s="109"/>
      <c r="AV29" s="169"/>
      <c r="AW29" s="169"/>
      <c r="AY29" s="144"/>
      <c r="AZ29" s="144"/>
      <c r="BA29" s="144"/>
      <c r="BB29" s="170"/>
      <c r="BE29" s="142">
        <f t="shared" si="27"/>
        <v>300</v>
      </c>
      <c r="BF29" s="142">
        <f t="shared" si="28"/>
        <v>0</v>
      </c>
      <c r="BG29" s="142">
        <f t="shared" si="29"/>
        <v>0</v>
      </c>
      <c r="BH29" s="142">
        <f t="shared" si="30"/>
        <v>0</v>
      </c>
      <c r="BI29" s="142">
        <f t="shared" si="31"/>
        <v>318.27930207816888</v>
      </c>
      <c r="BJ29" s="142">
        <f t="shared" si="32"/>
        <v>0</v>
      </c>
      <c r="BK29" s="142">
        <f t="shared" si="33"/>
        <v>0</v>
      </c>
      <c r="BL29" s="132"/>
      <c r="BM29" s="325"/>
      <c r="BN29" s="191">
        <v>0</v>
      </c>
      <c r="BO29" s="157">
        <f>BQ6</f>
        <v>650</v>
      </c>
      <c r="BP29" s="157">
        <f>BQ5</f>
        <v>1014</v>
      </c>
      <c r="BQ29" s="191">
        <v>0</v>
      </c>
      <c r="BR29" s="327"/>
      <c r="BS29" s="191">
        <v>0</v>
      </c>
      <c r="BT29" s="157">
        <f>BQ12</f>
        <v>0</v>
      </c>
      <c r="BU29" s="157">
        <f>BQ11</f>
        <v>0</v>
      </c>
      <c r="BV29" s="191">
        <v>0</v>
      </c>
      <c r="BW29" s="228">
        <v>35</v>
      </c>
      <c r="BX29" s="228">
        <v>1125</v>
      </c>
      <c r="BY29" s="132"/>
      <c r="BZ29" s="132"/>
      <c r="CA29" s="132"/>
      <c r="CB29" s="132"/>
      <c r="CC29" s="132"/>
      <c r="CD29" s="132"/>
      <c r="CE29" s="132"/>
      <c r="CF29" s="132"/>
      <c r="CG29" s="132"/>
      <c r="CH29" s="132"/>
      <c r="CI29" s="132"/>
      <c r="CJ29" s="132"/>
      <c r="CK29" s="132"/>
      <c r="CL29" s="132"/>
      <c r="CM29" s="134"/>
    </row>
    <row r="30" spans="1:91" ht="9.9499999999999993" customHeight="1" x14ac:dyDescent="0.2">
      <c r="A30" s="112"/>
      <c r="B30" s="39"/>
      <c r="C30" s="52"/>
      <c r="D30" s="53"/>
      <c r="E30" s="54"/>
      <c r="F30" s="9"/>
      <c r="G30" s="9"/>
      <c r="H30" s="42"/>
      <c r="I30" s="40"/>
      <c r="J30" s="40"/>
      <c r="K30" s="40"/>
      <c r="L30" s="40"/>
      <c r="M30" s="40"/>
      <c r="N30" s="40"/>
      <c r="O30" s="40"/>
      <c r="P30" s="40"/>
      <c r="Q30" s="40"/>
      <c r="R30" s="40"/>
      <c r="S30" s="40"/>
      <c r="T30" s="40"/>
      <c r="U30" s="40"/>
      <c r="V30" s="40"/>
      <c r="W30" s="40"/>
      <c r="X30" s="61"/>
      <c r="Y30" s="40"/>
      <c r="Z30" s="40"/>
      <c r="AA30" s="40"/>
      <c r="AB30" s="40"/>
      <c r="AC30" s="40"/>
      <c r="AD30" s="40"/>
      <c r="AE30" s="40"/>
      <c r="AF30" s="40"/>
      <c r="AG30" s="40"/>
      <c r="AH30" s="40"/>
      <c r="AI30" s="40"/>
      <c r="AJ30" s="40"/>
      <c r="AK30" s="40"/>
      <c r="AL30" s="40"/>
      <c r="AM30" s="40"/>
      <c r="AN30" s="40"/>
      <c r="AO30" s="40"/>
      <c r="AP30" s="40"/>
      <c r="AQ30" s="40"/>
      <c r="AR30" s="40"/>
      <c r="AS30" s="40"/>
      <c r="AT30" s="40"/>
      <c r="AU30" s="109"/>
      <c r="AY30" s="144"/>
      <c r="AZ30" s="144"/>
      <c r="BA30" s="144"/>
      <c r="BB30" s="170"/>
      <c r="BE30" s="142">
        <f t="shared" si="27"/>
        <v>400</v>
      </c>
      <c r="BF30" s="142">
        <f t="shared" si="28"/>
        <v>0</v>
      </c>
      <c r="BG30" s="142">
        <f t="shared" si="29"/>
        <v>0</v>
      </c>
      <c r="BH30" s="142">
        <f t="shared" si="30"/>
        <v>0</v>
      </c>
      <c r="BI30" s="142">
        <f t="shared" si="31"/>
        <v>285.85726307961937</v>
      </c>
      <c r="BJ30" s="142">
        <f t="shared" si="32"/>
        <v>0</v>
      </c>
      <c r="BK30" s="142">
        <f t="shared" si="33"/>
        <v>0</v>
      </c>
      <c r="BL30" s="132"/>
      <c r="BM30" s="325"/>
      <c r="BN30" s="157">
        <f>BQ5</f>
        <v>1014</v>
      </c>
      <c r="BO30" s="157">
        <f>BQ6</f>
        <v>650</v>
      </c>
      <c r="BP30" s="157">
        <f>BQ5</f>
        <v>1014</v>
      </c>
      <c r="BQ30" s="157">
        <f>BQ6</f>
        <v>650</v>
      </c>
      <c r="BR30" s="328"/>
      <c r="BS30" s="157">
        <f>BQ11</f>
        <v>0</v>
      </c>
      <c r="BT30" s="157">
        <f>BQ12</f>
        <v>0</v>
      </c>
      <c r="BU30" s="157">
        <f>BQ11</f>
        <v>0</v>
      </c>
      <c r="BV30" s="157">
        <f>BQ12</f>
        <v>0</v>
      </c>
      <c r="BW30" s="228">
        <v>40</v>
      </c>
      <c r="BX30" s="228">
        <v>1250</v>
      </c>
      <c r="BY30" s="132"/>
      <c r="BZ30" s="132"/>
      <c r="CA30" s="132"/>
      <c r="CB30" s="132"/>
      <c r="CC30" s="132"/>
      <c r="CD30" s="132"/>
      <c r="CE30" s="132"/>
      <c r="CF30" s="132"/>
      <c r="CG30" s="132"/>
      <c r="CH30" s="132"/>
      <c r="CI30" s="132"/>
      <c r="CJ30" s="132"/>
      <c r="CK30" s="132"/>
      <c r="CL30" s="132"/>
      <c r="CM30" s="134"/>
    </row>
    <row r="31" spans="1:91" ht="15" customHeight="1" x14ac:dyDescent="0.2">
      <c r="A31" s="112"/>
      <c r="B31" s="282" t="s">
        <v>79</v>
      </c>
      <c r="C31" s="283"/>
      <c r="D31" s="283"/>
      <c r="E31" s="283"/>
      <c r="F31" s="283"/>
      <c r="G31" s="283"/>
      <c r="H31" s="283"/>
      <c r="I31" s="283"/>
      <c r="J31" s="284"/>
      <c r="K31" s="282" t="s">
        <v>192</v>
      </c>
      <c r="L31" s="283"/>
      <c r="M31" s="283"/>
      <c r="N31" s="284"/>
      <c r="O31" s="282" t="s">
        <v>80</v>
      </c>
      <c r="P31" s="283"/>
      <c r="Q31" s="283"/>
      <c r="R31" s="284"/>
      <c r="S31" s="282" t="s">
        <v>191</v>
      </c>
      <c r="T31" s="283"/>
      <c r="U31" s="283"/>
      <c r="V31" s="284"/>
      <c r="W31" s="285" t="s">
        <v>81</v>
      </c>
      <c r="X31" s="285"/>
      <c r="Y31" s="285"/>
      <c r="Z31" s="285"/>
      <c r="AA31" s="40"/>
      <c r="AB31" s="40"/>
      <c r="AC31" s="40"/>
      <c r="AD31" s="40"/>
      <c r="AE31" s="40"/>
      <c r="AF31" s="40"/>
      <c r="AG31" s="40"/>
      <c r="AH31" s="8"/>
      <c r="AI31" s="8"/>
      <c r="AJ31" s="41"/>
      <c r="AK31" s="8"/>
      <c r="AL31" s="8"/>
      <c r="AM31" s="41"/>
      <c r="AN31" s="8"/>
      <c r="AO31" s="8"/>
      <c r="AP31" s="41"/>
      <c r="AQ31" s="8"/>
      <c r="AR31" s="8"/>
      <c r="AS31" s="41"/>
      <c r="AT31" s="8"/>
      <c r="AU31" s="109"/>
      <c r="AY31" s="144"/>
      <c r="AZ31" s="144"/>
      <c r="BA31" s="144"/>
      <c r="BB31" s="170"/>
      <c r="BE31" s="142">
        <f t="shared" si="27"/>
        <v>500</v>
      </c>
      <c r="BF31" s="142">
        <f t="shared" si="28"/>
        <v>0</v>
      </c>
      <c r="BG31" s="142">
        <f t="shared" si="29"/>
        <v>0</v>
      </c>
      <c r="BH31" s="142">
        <f t="shared" si="30"/>
        <v>0</v>
      </c>
      <c r="BI31" s="142">
        <f t="shared" si="31"/>
        <v>257.47994660958835</v>
      </c>
      <c r="BJ31" s="142">
        <f t="shared" si="32"/>
        <v>0</v>
      </c>
      <c r="BK31" s="142">
        <f t="shared" si="33"/>
        <v>0</v>
      </c>
      <c r="BL31" s="132"/>
      <c r="BM31" s="325">
        <v>55</v>
      </c>
      <c r="BN31" s="313" t="s">
        <v>204</v>
      </c>
      <c r="BO31" s="314"/>
      <c r="BP31" s="314"/>
      <c r="BQ31" s="315"/>
      <c r="BR31" s="132"/>
      <c r="BS31" s="132"/>
      <c r="BT31" s="132"/>
      <c r="BU31" s="132"/>
      <c r="BV31" s="134"/>
      <c r="BW31" s="228">
        <v>45</v>
      </c>
      <c r="BX31" s="228">
        <v>1400</v>
      </c>
      <c r="BY31" s="132"/>
      <c r="BZ31" s="132"/>
      <c r="CA31" s="132"/>
      <c r="CB31" s="132"/>
      <c r="CC31" s="132"/>
      <c r="CD31" s="132"/>
      <c r="CE31" s="132"/>
      <c r="CF31" s="132"/>
      <c r="CG31" s="132"/>
      <c r="CH31" s="132"/>
      <c r="CI31" s="132"/>
      <c r="CJ31" s="132"/>
      <c r="CK31" s="132"/>
      <c r="CL31" s="132"/>
      <c r="CM31" s="134"/>
    </row>
    <row r="32" spans="1:91" ht="15" customHeight="1" x14ac:dyDescent="0.2">
      <c r="A32" s="112"/>
      <c r="B32" s="299" t="s">
        <v>82</v>
      </c>
      <c r="C32" s="300"/>
      <c r="D32" s="300"/>
      <c r="E32" s="300"/>
      <c r="F32" s="300"/>
      <c r="G32" s="301"/>
      <c r="H32" s="286" t="s">
        <v>65</v>
      </c>
      <c r="I32" s="279"/>
      <c r="J32" s="280"/>
      <c r="K32" s="271" t="s">
        <v>115</v>
      </c>
      <c r="L32" s="272"/>
      <c r="M32" s="272"/>
      <c r="N32" s="273"/>
      <c r="O32" s="271">
        <v>0</v>
      </c>
      <c r="P32" s="272"/>
      <c r="Q32" s="272"/>
      <c r="R32" s="273"/>
      <c r="S32" s="289">
        <v>0</v>
      </c>
      <c r="T32" s="290"/>
      <c r="U32" s="290"/>
      <c r="V32" s="291"/>
      <c r="W32" s="292" t="str">
        <f>IF($AL$15="Right Turn Lane",IF(K32="No","N/A",ROUNDUP(O32*(1+S32*($BL$36-1)),0.1)),"N/A")</f>
        <v>N/A</v>
      </c>
      <c r="X32" s="292"/>
      <c r="Y32" s="292"/>
      <c r="Z32" s="292"/>
      <c r="AA32" s="40"/>
      <c r="AB32" s="40"/>
      <c r="AC32" s="40"/>
      <c r="AD32" s="40"/>
      <c r="AE32" s="40"/>
      <c r="AF32" s="40"/>
      <c r="AG32" s="40"/>
      <c r="AH32" s="40"/>
      <c r="AI32" s="40"/>
      <c r="AJ32" s="40"/>
      <c r="AK32" s="40"/>
      <c r="AL32" s="5"/>
      <c r="AM32" s="5"/>
      <c r="AN32" s="5"/>
      <c r="AO32" s="5"/>
      <c r="AP32" s="5"/>
      <c r="AQ32" s="5"/>
      <c r="AR32" s="5"/>
      <c r="AS32" s="5"/>
      <c r="AT32" s="5"/>
      <c r="AU32" s="109"/>
      <c r="AY32" s="144"/>
      <c r="AZ32" s="144"/>
      <c r="BA32" s="144"/>
      <c r="BB32" s="144"/>
      <c r="BC32" s="144"/>
      <c r="BD32" s="144"/>
      <c r="BE32" s="142">
        <f t="shared" si="27"/>
        <v>600</v>
      </c>
      <c r="BF32" s="142">
        <f t="shared" si="28"/>
        <v>0</v>
      </c>
      <c r="BG32" s="142">
        <f t="shared" si="29"/>
        <v>0</v>
      </c>
      <c r="BH32" s="142">
        <f t="shared" si="30"/>
        <v>0</v>
      </c>
      <c r="BI32" s="142">
        <f t="shared" si="31"/>
        <v>232.45399786666243</v>
      </c>
      <c r="BJ32" s="142">
        <f t="shared" si="32"/>
        <v>0</v>
      </c>
      <c r="BK32" s="142">
        <f t="shared" si="33"/>
        <v>0</v>
      </c>
      <c r="BL32" s="132"/>
      <c r="BM32" s="325"/>
      <c r="BN32" s="316" t="s">
        <v>202</v>
      </c>
      <c r="BO32" s="316"/>
      <c r="BP32" s="316" t="s">
        <v>203</v>
      </c>
      <c r="BQ32" s="316"/>
      <c r="BR32" s="132"/>
      <c r="BS32" s="132"/>
      <c r="BT32" s="132"/>
      <c r="BU32" s="132"/>
      <c r="BV32" s="134"/>
      <c r="BW32" s="228">
        <v>50</v>
      </c>
      <c r="BX32" s="228">
        <v>1550</v>
      </c>
      <c r="BY32" s="132"/>
      <c r="BZ32" s="132"/>
      <c r="CA32" s="132"/>
      <c r="CB32" s="132"/>
      <c r="CC32" s="132"/>
      <c r="CD32" s="132"/>
      <c r="CE32" s="132"/>
      <c r="CF32" s="132"/>
      <c r="CG32" s="132"/>
      <c r="CH32" s="132"/>
      <c r="CI32" s="132"/>
      <c r="CJ32" s="132"/>
      <c r="CK32" s="132"/>
      <c r="CL32" s="132"/>
      <c r="CM32" s="134"/>
    </row>
    <row r="33" spans="1:91" ht="15" customHeight="1" x14ac:dyDescent="0.25">
      <c r="A33" s="112"/>
      <c r="B33" s="302"/>
      <c r="C33" s="303"/>
      <c r="D33" s="303"/>
      <c r="E33" s="303"/>
      <c r="F33" s="303"/>
      <c r="G33" s="304"/>
      <c r="H33" s="286" t="s">
        <v>66</v>
      </c>
      <c r="I33" s="279"/>
      <c r="J33" s="280"/>
      <c r="K33" s="278" t="s">
        <v>193</v>
      </c>
      <c r="L33" s="279"/>
      <c r="M33" s="279"/>
      <c r="N33" s="280"/>
      <c r="O33" s="271">
        <v>0</v>
      </c>
      <c r="P33" s="272"/>
      <c r="Q33" s="272"/>
      <c r="R33" s="273"/>
      <c r="S33" s="289">
        <v>0</v>
      </c>
      <c r="T33" s="290"/>
      <c r="U33" s="290"/>
      <c r="V33" s="291"/>
      <c r="W33" s="292" t="str">
        <f>IF($AL$15="Right Turn Lane",IF(K33="No","N/A",ROUNDUP(O33*(1+S33*($BL$36-1)),0.1)),"N/A")</f>
        <v>N/A</v>
      </c>
      <c r="X33" s="292"/>
      <c r="Y33" s="292"/>
      <c r="Z33" s="292"/>
      <c r="AA33" s="40"/>
      <c r="AB33" s="40"/>
      <c r="AC33" s="40"/>
      <c r="AD33" s="40"/>
      <c r="AE33" s="40"/>
      <c r="AF33" s="40"/>
      <c r="AG33" s="40"/>
      <c r="AH33" s="40"/>
      <c r="AI33" s="40"/>
      <c r="AJ33" s="40"/>
      <c r="AK33" s="40"/>
      <c r="AL33" s="5"/>
      <c r="AM33" s="5"/>
      <c r="AN33" s="10" t="s">
        <v>195</v>
      </c>
      <c r="AO33" s="317" t="str">
        <f>IF(AL15="Right Turn Lane",SUM(W32:Z34),"N/A")</f>
        <v>N/A</v>
      </c>
      <c r="AP33" s="318"/>
      <c r="AQ33" s="318"/>
      <c r="AR33" s="318"/>
      <c r="AS33" s="318"/>
      <c r="AT33" s="319"/>
      <c r="AU33" s="109"/>
      <c r="AY33" s="144"/>
      <c r="AZ33" s="144"/>
      <c r="BA33" s="144"/>
      <c r="BB33" s="144"/>
      <c r="BC33" s="144"/>
      <c r="BD33" s="144"/>
      <c r="BE33" s="142">
        <f t="shared" si="27"/>
        <v>700</v>
      </c>
      <c r="BF33" s="142">
        <f t="shared" si="28"/>
        <v>0</v>
      </c>
      <c r="BG33" s="142">
        <f t="shared" si="29"/>
        <v>0</v>
      </c>
      <c r="BH33" s="142">
        <f t="shared" si="30"/>
        <v>0</v>
      </c>
      <c r="BI33" s="142">
        <f t="shared" si="31"/>
        <v>210.24730923455002</v>
      </c>
      <c r="BJ33" s="142">
        <f t="shared" si="32"/>
        <v>0</v>
      </c>
      <c r="BK33" s="142">
        <f t="shared" si="33"/>
        <v>0</v>
      </c>
      <c r="BL33" s="132"/>
      <c r="BM33" s="325"/>
      <c r="BN33" s="191">
        <v>0</v>
      </c>
      <c r="BO33" s="157">
        <f>BR6</f>
        <v>0</v>
      </c>
      <c r="BP33" s="157">
        <f>BR5</f>
        <v>0</v>
      </c>
      <c r="BQ33" s="191">
        <v>0</v>
      </c>
      <c r="BR33" s="132"/>
      <c r="BS33" s="132"/>
      <c r="BT33" s="132"/>
      <c r="BU33" s="132"/>
      <c r="BV33" s="134"/>
      <c r="BW33" s="228">
        <v>55</v>
      </c>
      <c r="BX33" s="228">
        <v>1700</v>
      </c>
      <c r="BY33" s="132"/>
      <c r="BZ33" s="132"/>
      <c r="CA33" s="132"/>
      <c r="CB33" s="132"/>
      <c r="CC33" s="132"/>
      <c r="CD33" s="132"/>
      <c r="CE33" s="132"/>
      <c r="CF33" s="132"/>
      <c r="CG33" s="132"/>
      <c r="CH33" s="132"/>
      <c r="CI33" s="132"/>
      <c r="CJ33" s="132"/>
      <c r="CK33" s="132"/>
      <c r="CL33" s="132"/>
      <c r="CM33" s="134"/>
    </row>
    <row r="34" spans="1:91" ht="15" customHeight="1" x14ac:dyDescent="0.25">
      <c r="A34" s="112"/>
      <c r="B34" s="305"/>
      <c r="C34" s="306"/>
      <c r="D34" s="306"/>
      <c r="E34" s="306"/>
      <c r="F34" s="306"/>
      <c r="G34" s="307"/>
      <c r="H34" s="286" t="s">
        <v>67</v>
      </c>
      <c r="I34" s="279"/>
      <c r="J34" s="280"/>
      <c r="K34" s="287" t="s">
        <v>193</v>
      </c>
      <c r="L34" s="279"/>
      <c r="M34" s="279"/>
      <c r="N34" s="280"/>
      <c r="O34" s="288">
        <v>0</v>
      </c>
      <c r="P34" s="272"/>
      <c r="Q34" s="272"/>
      <c r="R34" s="273"/>
      <c r="S34" s="289">
        <v>0</v>
      </c>
      <c r="T34" s="290"/>
      <c r="U34" s="290"/>
      <c r="V34" s="291"/>
      <c r="W34" s="292" t="str">
        <f>IF($AL$15="Right Turn Lane",IF(K34="No","N/A",ROUNDUP(O34*(1+S34*($BL$36-1)),0.1)),"N/A")</f>
        <v>N/A</v>
      </c>
      <c r="X34" s="292"/>
      <c r="Y34" s="292"/>
      <c r="Z34" s="292"/>
      <c r="AA34" s="40"/>
      <c r="AB34" s="40"/>
      <c r="AC34" s="40"/>
      <c r="AD34" s="40"/>
      <c r="AE34" s="40"/>
      <c r="AF34" s="40"/>
      <c r="AG34" s="40"/>
      <c r="AH34" s="51"/>
      <c r="AI34" s="51"/>
      <c r="AJ34" s="51"/>
      <c r="AK34" s="51"/>
      <c r="AL34" s="5"/>
      <c r="AM34" s="5"/>
      <c r="AN34" s="10" t="s">
        <v>207</v>
      </c>
      <c r="AO34" s="317" t="str">
        <f>IF(AL15="Right Turn Lane",W34,"N/A")</f>
        <v>N/A</v>
      </c>
      <c r="AP34" s="318"/>
      <c r="AQ34" s="318"/>
      <c r="AR34" s="318"/>
      <c r="AS34" s="318"/>
      <c r="AT34" s="319"/>
      <c r="AU34" s="109"/>
      <c r="BE34" s="142">
        <f t="shared" si="27"/>
        <v>800</v>
      </c>
      <c r="BF34" s="142">
        <f t="shared" si="28"/>
        <v>0</v>
      </c>
      <c r="BG34" s="142">
        <f t="shared" si="29"/>
        <v>0</v>
      </c>
      <c r="BH34" s="142">
        <f t="shared" si="30"/>
        <v>0</v>
      </c>
      <c r="BI34" s="142">
        <f t="shared" si="31"/>
        <v>190.44256171257129</v>
      </c>
      <c r="BJ34" s="142">
        <f t="shared" si="32"/>
        <v>0</v>
      </c>
      <c r="BK34" s="142">
        <f t="shared" si="33"/>
        <v>0</v>
      </c>
      <c r="BL34" s="156"/>
      <c r="BM34" s="325"/>
      <c r="BN34" s="157">
        <f>BR5</f>
        <v>0</v>
      </c>
      <c r="BO34" s="157">
        <f>BR6</f>
        <v>0</v>
      </c>
      <c r="BP34" s="157">
        <f>BR5</f>
        <v>0</v>
      </c>
      <c r="BQ34" s="157">
        <f>BR6</f>
        <v>0</v>
      </c>
      <c r="BR34" s="132"/>
      <c r="BS34" s="132"/>
      <c r="BT34" s="132"/>
      <c r="BU34" s="132"/>
      <c r="BV34" s="134"/>
      <c r="BW34" s="228">
        <v>60</v>
      </c>
      <c r="BX34" s="228">
        <v>1850</v>
      </c>
      <c r="BY34" s="156"/>
      <c r="BZ34" s="156"/>
      <c r="CA34" s="156"/>
      <c r="CB34" s="156"/>
      <c r="CC34" s="156"/>
      <c r="CD34" s="156"/>
      <c r="CE34" s="156"/>
      <c r="CF34" s="156"/>
      <c r="CG34" s="156"/>
      <c r="CH34" s="156"/>
      <c r="CI34" s="156"/>
      <c r="CJ34" s="156"/>
      <c r="CK34" s="156"/>
      <c r="CL34" s="156"/>
      <c r="CM34" s="171"/>
    </row>
    <row r="35" spans="1:91" ht="9.9499999999999993" customHeight="1" x14ac:dyDescent="0.2">
      <c r="A35" s="123"/>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61"/>
      <c r="AB35" s="61"/>
      <c r="AC35" s="61"/>
      <c r="AD35" s="61"/>
      <c r="AE35" s="61"/>
      <c r="AF35" s="61"/>
      <c r="AG35" s="61"/>
      <c r="AH35" s="61"/>
      <c r="AI35" s="61"/>
      <c r="AJ35" s="61"/>
      <c r="AK35" s="61"/>
      <c r="AL35" s="61"/>
      <c r="AM35" s="61"/>
      <c r="AN35" s="61"/>
      <c r="AO35" s="61"/>
      <c r="AP35" s="61"/>
      <c r="AQ35" s="61"/>
      <c r="AR35" s="61"/>
      <c r="AS35" s="61"/>
      <c r="AT35" s="61"/>
      <c r="AU35" s="124"/>
      <c r="BE35" s="264" t="s">
        <v>345</v>
      </c>
      <c r="BF35" s="265"/>
      <c r="BG35" s="265"/>
      <c r="BH35" s="266"/>
      <c r="BI35" s="172"/>
      <c r="BJ35" s="198"/>
      <c r="BK35" s="199"/>
      <c r="BL35" s="173" t="s">
        <v>194</v>
      </c>
      <c r="BM35" s="325">
        <v>60</v>
      </c>
      <c r="BN35" s="313" t="s">
        <v>204</v>
      </c>
      <c r="BO35" s="314"/>
      <c r="BP35" s="314"/>
      <c r="BQ35" s="315"/>
      <c r="BR35" s="132"/>
      <c r="BS35" s="132"/>
      <c r="BT35" s="132"/>
      <c r="BU35" s="132"/>
      <c r="BV35" s="134"/>
    </row>
    <row r="36" spans="1:91" ht="21" x14ac:dyDescent="0.35">
      <c r="A36" s="308" t="s">
        <v>211</v>
      </c>
      <c r="B36" s="309"/>
      <c r="C36" s="309"/>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10"/>
      <c r="BC36" s="200" t="s">
        <v>347</v>
      </c>
      <c r="BD36" s="201" t="str">
        <f>IF(AND($M$40="Figure 1",$AO$22&gt;$BF$11),"Y","N")</f>
        <v>N</v>
      </c>
      <c r="BE36" s="202" t="s">
        <v>333</v>
      </c>
      <c r="BF36" s="203">
        <v>0</v>
      </c>
      <c r="BG36" s="143" t="str">
        <f>IF($AO$27&lt;0.01,"Y","N")</f>
        <v>N</v>
      </c>
      <c r="BH36" s="204" t="str">
        <f>IF(BG36="Y","N","N")</f>
        <v>N</v>
      </c>
      <c r="BI36" s="172"/>
      <c r="BJ36" s="174"/>
      <c r="BK36" s="205" t="str">
        <f>M42</f>
        <v>Yes</v>
      </c>
      <c r="BL36" s="175">
        <f>IF(N15="Level",1.5,IF($N15="Rolling",2.5,IF($N15="Mountainous",4.5,"")))</f>
        <v>2.5</v>
      </c>
      <c r="BM36" s="325"/>
      <c r="BN36" s="316" t="s">
        <v>202</v>
      </c>
      <c r="BO36" s="316"/>
      <c r="BP36" s="316" t="s">
        <v>203</v>
      </c>
      <c r="BQ36" s="316"/>
      <c r="BR36" s="132"/>
      <c r="BS36" s="132"/>
      <c r="BT36" s="132"/>
      <c r="BU36" s="132"/>
      <c r="BV36" s="134"/>
    </row>
    <row r="37" spans="1:91" ht="9.9499999999999993" customHeight="1" x14ac:dyDescent="0.2">
      <c r="A37" s="108"/>
      <c r="B37" s="5"/>
      <c r="C37" s="5"/>
      <c r="D37" s="5"/>
      <c r="E37" s="5"/>
      <c r="F37" s="5"/>
      <c r="G37" s="5"/>
      <c r="H37" s="5"/>
      <c r="I37" s="5"/>
      <c r="J37" s="5"/>
      <c r="K37" s="5"/>
      <c r="L37" s="5"/>
      <c r="M37" s="5"/>
      <c r="N37" s="5"/>
      <c r="O37" s="5"/>
      <c r="P37" s="5"/>
      <c r="Q37" s="5"/>
      <c r="R37" s="5"/>
      <c r="S37" s="5"/>
      <c r="T37" s="5"/>
      <c r="U37" s="5"/>
      <c r="V37" s="73"/>
      <c r="W37" s="71"/>
      <c r="X37" s="128"/>
      <c r="Y37" s="71"/>
      <c r="Z37" s="5"/>
      <c r="AA37" s="5"/>
      <c r="AB37" s="5"/>
      <c r="AC37" s="5"/>
      <c r="AD37" s="5"/>
      <c r="AE37" s="5"/>
      <c r="AF37" s="5"/>
      <c r="AG37" s="5"/>
      <c r="AH37" s="5"/>
      <c r="AI37" s="5"/>
      <c r="AJ37" s="5"/>
      <c r="AK37" s="5"/>
      <c r="AL37" s="5"/>
      <c r="AM37" s="5"/>
      <c r="AN37" s="5"/>
      <c r="AO37" s="5"/>
      <c r="AP37" s="5"/>
      <c r="AQ37" s="5"/>
      <c r="AR37" s="5"/>
      <c r="AS37" s="5"/>
      <c r="AT37" s="5"/>
      <c r="AU37" s="109"/>
      <c r="BC37" s="206" t="s">
        <v>348</v>
      </c>
      <c r="BD37" s="207" t="str">
        <f>IF(AND($M$40="Figure 2",$AO$22&gt;$BF$11),"Y","N")</f>
        <v>N</v>
      </c>
      <c r="BE37" s="202" t="s">
        <v>334</v>
      </c>
      <c r="BF37" s="203">
        <v>0.01</v>
      </c>
      <c r="BG37" s="143" t="str">
        <f>IF(AND($AO$27&gt;=0.01,$AO$27&lt;0.02),"Y","N")</f>
        <v>N</v>
      </c>
      <c r="BH37" s="204" t="str">
        <f>IF(BG37="Y",IF($AO$23&gt;=-457.5*LN($AO$22)+3416.9,"Y","N"),"N")</f>
        <v>N</v>
      </c>
      <c r="BI37" s="172"/>
      <c r="BJ37" s="176"/>
      <c r="BM37" s="325"/>
      <c r="BN37" s="191">
        <v>0</v>
      </c>
      <c r="BO37" s="157">
        <f>BS6</f>
        <v>0</v>
      </c>
      <c r="BP37" s="157">
        <f>BS5</f>
        <v>0</v>
      </c>
      <c r="BQ37" s="191">
        <v>0</v>
      </c>
      <c r="BR37" s="132"/>
      <c r="BS37" s="132"/>
      <c r="BT37" s="132"/>
      <c r="BU37" s="132"/>
      <c r="BV37" s="134"/>
    </row>
    <row r="38" spans="1:91" ht="15" x14ac:dyDescent="0.2">
      <c r="A38" s="108"/>
      <c r="B38" s="293" t="s">
        <v>245</v>
      </c>
      <c r="C38" s="294"/>
      <c r="D38" s="294"/>
      <c r="E38" s="294"/>
      <c r="F38" s="294"/>
      <c r="G38" s="294"/>
      <c r="H38" s="294"/>
      <c r="I38" s="294"/>
      <c r="J38" s="294"/>
      <c r="K38" s="294"/>
      <c r="L38" s="294"/>
      <c r="M38" s="294"/>
      <c r="N38" s="294"/>
      <c r="O38" s="294"/>
      <c r="P38" s="294"/>
      <c r="Q38" s="294"/>
      <c r="R38" s="294"/>
      <c r="S38" s="294"/>
      <c r="T38" s="294"/>
      <c r="U38" s="294"/>
      <c r="V38" s="294"/>
      <c r="W38" s="72"/>
      <c r="X38" s="129"/>
      <c r="Y38" s="5"/>
      <c r="Z38" s="293" t="s">
        <v>248</v>
      </c>
      <c r="AA38" s="294"/>
      <c r="AB38" s="294"/>
      <c r="AC38" s="294"/>
      <c r="AD38" s="294"/>
      <c r="AE38" s="294"/>
      <c r="AF38" s="294"/>
      <c r="AG38" s="294"/>
      <c r="AH38" s="294"/>
      <c r="AI38" s="294"/>
      <c r="AJ38" s="294"/>
      <c r="AK38" s="294"/>
      <c r="AL38" s="294"/>
      <c r="AM38" s="294"/>
      <c r="AN38" s="294"/>
      <c r="AO38" s="294"/>
      <c r="AP38" s="294"/>
      <c r="AQ38" s="294"/>
      <c r="AR38" s="294"/>
      <c r="AS38" s="294"/>
      <c r="AT38" s="295"/>
      <c r="AU38" s="109"/>
      <c r="BC38" s="206" t="s">
        <v>349</v>
      </c>
      <c r="BD38" s="207" t="str">
        <f>IF(AND($M$40="Figure 3",$AO$22&gt;$BF$11),"Y","N")</f>
        <v>N</v>
      </c>
      <c r="BE38" s="202" t="s">
        <v>335</v>
      </c>
      <c r="BF38" s="203">
        <v>0.02</v>
      </c>
      <c r="BG38" s="143" t="str">
        <f>IF(AND($AO$27&gt;=0.02,$AO$27&lt;0.03),"Y","N")</f>
        <v>N</v>
      </c>
      <c r="BH38" s="204" t="str">
        <f>IF(BG38="Y",IF($AO$23&gt;=-451.8*LN($AO$22)+3231.3,"Y","N"),"N")</f>
        <v>N</v>
      </c>
      <c r="BI38" s="172"/>
      <c r="BJ38" s="176"/>
      <c r="BK38" s="148"/>
      <c r="BM38" s="350"/>
      <c r="BN38" s="177">
        <f>BS5</f>
        <v>0</v>
      </c>
      <c r="BO38" s="177">
        <f>BS6</f>
        <v>0</v>
      </c>
      <c r="BP38" s="177">
        <f>BS5</f>
        <v>0</v>
      </c>
      <c r="BQ38" s="177">
        <f>BS6</f>
        <v>0</v>
      </c>
      <c r="BR38" s="132"/>
      <c r="BS38" s="132"/>
      <c r="BT38" s="132"/>
      <c r="BU38" s="132"/>
      <c r="BV38" s="134"/>
    </row>
    <row r="39" spans="1:91" ht="9.9499999999999993" customHeight="1" x14ac:dyDescent="0.2">
      <c r="A39" s="83"/>
      <c r="B39" s="5"/>
      <c r="C39" s="5"/>
      <c r="D39" s="5"/>
      <c r="E39" s="5"/>
      <c r="F39" s="5"/>
      <c r="G39" s="5"/>
      <c r="H39" s="5"/>
      <c r="I39" s="5"/>
      <c r="J39" s="5"/>
      <c r="K39" s="5"/>
      <c r="L39" s="5"/>
      <c r="M39" s="5"/>
      <c r="N39" s="5"/>
      <c r="O39" s="5"/>
      <c r="P39" s="5"/>
      <c r="Q39" s="5"/>
      <c r="R39" s="5"/>
      <c r="S39" s="5"/>
      <c r="T39" s="5"/>
      <c r="U39" s="5"/>
      <c r="V39" s="5"/>
      <c r="W39" s="5"/>
      <c r="X39" s="129"/>
      <c r="Y39" s="5"/>
      <c r="Z39" s="5"/>
      <c r="AA39" s="5"/>
      <c r="AB39" s="5"/>
      <c r="AC39" s="5"/>
      <c r="AD39" s="5"/>
      <c r="AE39" s="5"/>
      <c r="AF39" s="5"/>
      <c r="AG39" s="5"/>
      <c r="AH39" s="5"/>
      <c r="AI39" s="5"/>
      <c r="AJ39" s="5"/>
      <c r="AK39" s="5"/>
      <c r="AL39" s="5"/>
      <c r="AM39" s="5"/>
      <c r="AN39" s="5"/>
      <c r="AO39" s="5"/>
      <c r="AP39" s="5"/>
      <c r="AQ39" s="5"/>
      <c r="AR39" s="5"/>
      <c r="AS39" s="5"/>
      <c r="AT39" s="5"/>
      <c r="AU39" s="85"/>
      <c r="BC39" s="206" t="s">
        <v>350</v>
      </c>
      <c r="BD39" s="207" t="str">
        <f>IF(AND($M$40="Figure 4",$AO$22&gt;$BF$11),"Y","N")</f>
        <v>Y</v>
      </c>
      <c r="BE39" s="202" t="s">
        <v>336</v>
      </c>
      <c r="BF39" s="203">
        <v>0.03</v>
      </c>
      <c r="BG39" s="143" t="str">
        <f>IF(AND($AO$27&gt;=0.03,$AO$27&lt;0.05),"Y","N")</f>
        <v>N</v>
      </c>
      <c r="BH39" s="204" t="str">
        <f>IF(BG39="Y",IF($AO$23&gt;=-442.2*LN($AO$22)+3086.6,"Y","N"),"N")</f>
        <v>N</v>
      </c>
      <c r="BJ39" s="176"/>
      <c r="BK39" s="148"/>
      <c r="BM39" s="325" t="s">
        <v>322</v>
      </c>
      <c r="BN39" s="313" t="s">
        <v>204</v>
      </c>
      <c r="BO39" s="314"/>
      <c r="BP39" s="314"/>
      <c r="BQ39" s="315"/>
      <c r="BR39" s="132"/>
      <c r="BS39" s="132"/>
      <c r="BT39" s="132"/>
      <c r="BU39" s="132"/>
      <c r="BV39" s="134"/>
    </row>
    <row r="40" spans="1:91" ht="21" x14ac:dyDescent="0.2">
      <c r="A40" s="83"/>
      <c r="B40" s="5"/>
      <c r="C40" s="5"/>
      <c r="D40" s="5"/>
      <c r="E40" s="5"/>
      <c r="F40" s="5"/>
      <c r="G40" s="5"/>
      <c r="H40" s="5"/>
      <c r="I40" s="5"/>
      <c r="J40" s="5"/>
      <c r="K40" s="5"/>
      <c r="L40" s="63" t="s">
        <v>246</v>
      </c>
      <c r="M40" s="254" t="str">
        <f>IF(AL15="Left Turn Lane",IF(AND($N$14&lt;=35,$AL$11=1),"Figure 1",IF(AND($N$14=40,$AL$11=1),"Figure 2",IF(AND($N$14=45,$AL$11=1),"Figure 3",IF(AND($N$14=50,$AL$11=1),"Figure 4",IF(AND($N$14=55,$AL$11=1),"Figure 5",IF(AND($N$14=60,$AL$11=1),"Figure 6",IF(AND($AL$11=2,$AL$12="Undivided"),"Figure 7",IF(AND($AL$11=2,$AL$12="Divided"),"Figure 8","N/A")))))))),"N/A")</f>
        <v>Figure 4</v>
      </c>
      <c r="N40" s="255"/>
      <c r="O40" s="255"/>
      <c r="P40" s="255"/>
      <c r="Q40" s="255"/>
      <c r="R40" s="256"/>
      <c r="S40" s="211"/>
      <c r="T40" s="211"/>
      <c r="U40" s="211"/>
      <c r="V40" s="211"/>
      <c r="W40" s="211"/>
      <c r="X40" s="129"/>
      <c r="Y40" s="5"/>
      <c r="Z40" s="5"/>
      <c r="AA40" s="5"/>
      <c r="AB40" s="5"/>
      <c r="AC40" s="5"/>
      <c r="AD40" s="5"/>
      <c r="AE40" s="5"/>
      <c r="AF40" s="5"/>
      <c r="AG40" s="5"/>
      <c r="AH40" s="5"/>
      <c r="AI40" s="5"/>
      <c r="AJ40" s="63" t="s">
        <v>246</v>
      </c>
      <c r="AK40" s="254" t="str">
        <f>IF(AL15="Right Turn Lane",IF(AND($N$14&lt;=40,$AL$11=1),"Figure 9",IF(AND($N$14&gt;=45,$AL$11=1),"Figure 10",IF(AND($N$14&lt;=40,$AL$11=2),"Figure 11","Figure 12"))),"N/A")</f>
        <v>N/A</v>
      </c>
      <c r="AL40" s="255"/>
      <c r="AM40" s="255"/>
      <c r="AN40" s="255"/>
      <c r="AO40" s="255"/>
      <c r="AP40" s="256"/>
      <c r="AQ40" s="5"/>
      <c r="AR40" s="5"/>
      <c r="AS40" s="5"/>
      <c r="AT40" s="5"/>
      <c r="AU40" s="85"/>
      <c r="BC40" s="206" t="s">
        <v>351</v>
      </c>
      <c r="BD40" s="207" t="str">
        <f>IF(AND($M$40="Figure 5",$AO$22&gt;$BF$11),"Y","N")</f>
        <v>N</v>
      </c>
      <c r="BE40" s="202" t="s">
        <v>337</v>
      </c>
      <c r="BF40" s="203">
        <v>0.05</v>
      </c>
      <c r="BG40" s="143" t="str">
        <f>IF(AND($AO$27&gt;=0.05,$AO$27&lt;0.1),"Y","N")</f>
        <v>N</v>
      </c>
      <c r="BH40" s="204" t="str">
        <f>IF(BG40="Y",IF($AO$23&gt;=-465.6*LN($AO$22)+3112.3,"Y","N"),"N")</f>
        <v>N</v>
      </c>
      <c r="BJ40" s="176"/>
      <c r="BK40" s="148"/>
      <c r="BM40" s="325"/>
      <c r="BN40" s="316" t="s">
        <v>202</v>
      </c>
      <c r="BO40" s="316"/>
      <c r="BP40" s="316" t="s">
        <v>203</v>
      </c>
      <c r="BQ40" s="316"/>
      <c r="BR40" s="132"/>
      <c r="BS40" s="132"/>
      <c r="BT40" s="132"/>
      <c r="BU40" s="132"/>
      <c r="BV40" s="134"/>
    </row>
    <row r="41" spans="1:91" ht="9.9499999999999993" customHeight="1" x14ac:dyDescent="0.25">
      <c r="A41" s="83"/>
      <c r="B41" s="5"/>
      <c r="C41" s="5"/>
      <c r="D41" s="5"/>
      <c r="E41" s="5"/>
      <c r="F41" s="5"/>
      <c r="G41" s="5"/>
      <c r="H41" s="5"/>
      <c r="I41" s="5"/>
      <c r="J41" s="5"/>
      <c r="K41" s="5"/>
      <c r="L41" s="10"/>
      <c r="M41" s="320"/>
      <c r="N41" s="320"/>
      <c r="O41" s="320"/>
      <c r="P41" s="320"/>
      <c r="Q41" s="320"/>
      <c r="R41" s="320"/>
      <c r="S41" s="211"/>
      <c r="T41" s="211"/>
      <c r="U41" s="211"/>
      <c r="V41" s="211"/>
      <c r="W41" s="211"/>
      <c r="X41" s="129"/>
      <c r="Y41" s="7"/>
      <c r="Z41" s="5"/>
      <c r="AA41" s="5"/>
      <c r="AB41" s="5"/>
      <c r="AC41" s="5"/>
      <c r="AD41" s="5"/>
      <c r="AE41" s="5"/>
      <c r="AF41" s="5"/>
      <c r="AG41" s="5"/>
      <c r="AH41" s="5"/>
      <c r="AI41" s="5"/>
      <c r="AJ41" s="10"/>
      <c r="AK41" s="279"/>
      <c r="AL41" s="279"/>
      <c r="AM41" s="279"/>
      <c r="AN41" s="279"/>
      <c r="AO41" s="279"/>
      <c r="AP41" s="279"/>
      <c r="AQ41" s="5"/>
      <c r="AR41" s="5"/>
      <c r="AS41" s="5"/>
      <c r="AT41" s="5"/>
      <c r="AU41" s="85"/>
      <c r="BC41" s="206" t="s">
        <v>352</v>
      </c>
      <c r="BD41" s="207" t="str">
        <f>IF(AND($M$40="Figure 6",$AO$22&gt;$BF$11),"Y","N")</f>
        <v>N</v>
      </c>
      <c r="BE41" s="202" t="s">
        <v>338</v>
      </c>
      <c r="BF41" s="203">
        <v>0.1</v>
      </c>
      <c r="BG41" s="143" t="str">
        <f>IF(AND($AO$27&gt;=0.1,$AO$27&lt;0.15),"Y","N")</f>
        <v>Y</v>
      </c>
      <c r="BH41" s="204" t="str">
        <f>IF(BG41="Y",IF($AO$23&gt;=-458.7*LN($AO$22)+2932.6,"Y","N"),"N")</f>
        <v>Y</v>
      </c>
      <c r="BM41" s="325"/>
      <c r="BN41" s="191">
        <v>0</v>
      </c>
      <c r="BO41" s="157">
        <f>BT6</f>
        <v>0</v>
      </c>
      <c r="BP41" s="157">
        <f>BT5</f>
        <v>0</v>
      </c>
      <c r="BQ41" s="191">
        <v>0</v>
      </c>
      <c r="BR41" s="132"/>
      <c r="BS41" s="132"/>
      <c r="BT41" s="132"/>
      <c r="BU41" s="132"/>
      <c r="BV41" s="134"/>
    </row>
    <row r="42" spans="1:91" ht="21" customHeight="1" x14ac:dyDescent="0.2">
      <c r="A42" s="83"/>
      <c r="C42" s="297" t="s">
        <v>247</v>
      </c>
      <c r="D42" s="297"/>
      <c r="E42" s="297"/>
      <c r="F42" s="297"/>
      <c r="G42" s="297"/>
      <c r="H42" s="297"/>
      <c r="I42" s="297"/>
      <c r="J42" s="297"/>
      <c r="K42" s="297"/>
      <c r="L42" s="298"/>
      <c r="M42" s="254" t="str">
        <f>IF(AL15="Left Turn Lane",IF(AND(AO23&gt;=100,BD44="Y"),"Yes","No"),"N/A")</f>
        <v>Yes</v>
      </c>
      <c r="N42" s="255"/>
      <c r="O42" s="255"/>
      <c r="P42" s="255"/>
      <c r="Q42" s="255"/>
      <c r="R42" s="256"/>
      <c r="S42" s="212"/>
      <c r="T42" s="212"/>
      <c r="U42" s="212"/>
      <c r="V42" s="212"/>
      <c r="W42" s="211"/>
      <c r="X42" s="129"/>
      <c r="Y42" s="5"/>
      <c r="Z42" s="5"/>
      <c r="AA42" s="5"/>
      <c r="AB42" s="5"/>
      <c r="AC42" s="5"/>
      <c r="AD42" s="5"/>
      <c r="AE42" s="5"/>
      <c r="AF42" s="5"/>
      <c r="AG42" s="5"/>
      <c r="AH42" s="5"/>
      <c r="AI42" s="5"/>
      <c r="AJ42" s="63" t="s">
        <v>247</v>
      </c>
      <c r="AK42" s="254" t="str">
        <f>IF(AL15="Right Turn Lane",IF(AND($AO$33&gt;=BP53,BP53&gt;0),"Yes","No"),"N/A")</f>
        <v>N/A</v>
      </c>
      <c r="AL42" s="255"/>
      <c r="AM42" s="255"/>
      <c r="AN42" s="255"/>
      <c r="AO42" s="255"/>
      <c r="AP42" s="256"/>
      <c r="AQ42" s="5"/>
      <c r="AR42" s="5"/>
      <c r="AS42" s="5"/>
      <c r="AT42" s="5"/>
      <c r="AU42" s="85"/>
      <c r="BC42" s="206" t="s">
        <v>343</v>
      </c>
      <c r="BD42" s="207" t="str">
        <f>IF(AND($M$40="Figure 7",BH45="Y"),"Y","N")</f>
        <v>N</v>
      </c>
      <c r="BE42" s="202" t="s">
        <v>339</v>
      </c>
      <c r="BF42" s="203">
        <v>0.15</v>
      </c>
      <c r="BG42" s="143" t="str">
        <f>IF(AND($AO$27&gt;=0.15,$AO$27&lt;0.2),"Y","N")</f>
        <v>N</v>
      </c>
      <c r="BH42" s="204" t="str">
        <f>IF(BG42="Y",IF($AO$23&gt;=-480.8*LN($AO$22)+2970.7,"Y","N"),"N")</f>
        <v>N</v>
      </c>
      <c r="BM42" s="350"/>
      <c r="BN42" s="177">
        <f>BT5</f>
        <v>0</v>
      </c>
      <c r="BO42" s="177">
        <f>BT6</f>
        <v>0</v>
      </c>
      <c r="BP42" s="177">
        <f>BT5</f>
        <v>0</v>
      </c>
      <c r="BQ42" s="177">
        <f>BT6</f>
        <v>0</v>
      </c>
      <c r="BR42" s="132"/>
      <c r="BS42" s="132"/>
      <c r="BT42" s="132"/>
      <c r="BU42" s="132"/>
      <c r="BV42" s="134"/>
    </row>
    <row r="43" spans="1:91" ht="9.9499999999999993" customHeight="1" x14ac:dyDescent="0.2">
      <c r="A43" s="83"/>
      <c r="B43" s="5"/>
      <c r="C43" s="5"/>
      <c r="D43" s="5"/>
      <c r="E43" s="5"/>
      <c r="F43" s="5"/>
      <c r="G43" s="5"/>
      <c r="H43" s="5"/>
      <c r="I43" s="5"/>
      <c r="J43" s="5"/>
      <c r="K43" s="5"/>
      <c r="L43" s="5"/>
      <c r="M43" s="5"/>
      <c r="N43" s="5"/>
      <c r="O43" s="5"/>
      <c r="P43" s="5"/>
      <c r="Q43" s="5"/>
      <c r="R43" s="5"/>
      <c r="S43" s="211"/>
      <c r="T43" s="211"/>
      <c r="U43" s="211"/>
      <c r="V43" s="211"/>
      <c r="W43" s="211"/>
      <c r="X43" s="129"/>
      <c r="Y43" s="5"/>
      <c r="Z43" s="5"/>
      <c r="AA43" s="5"/>
      <c r="AB43" s="5"/>
      <c r="AC43" s="5"/>
      <c r="AD43" s="5"/>
      <c r="AE43" s="5"/>
      <c r="AF43" s="5"/>
      <c r="AG43" s="5"/>
      <c r="AH43" s="5"/>
      <c r="AI43" s="5"/>
      <c r="AJ43" s="5"/>
      <c r="AK43" s="5"/>
      <c r="AL43" s="5"/>
      <c r="AM43" s="5"/>
      <c r="AN43" s="5"/>
      <c r="AO43" s="5"/>
      <c r="AP43" s="5"/>
      <c r="AQ43" s="5"/>
      <c r="AR43" s="5"/>
      <c r="AS43" s="5"/>
      <c r="AT43" s="5"/>
      <c r="AU43" s="85"/>
      <c r="BC43" s="206" t="s">
        <v>344</v>
      </c>
      <c r="BD43" s="207" t="str">
        <f>IF(AND($M$40="Figure 8",BH56="Y"),"Y","N")</f>
        <v>N</v>
      </c>
      <c r="BE43" s="202" t="s">
        <v>340</v>
      </c>
      <c r="BF43" s="203">
        <v>0.2</v>
      </c>
      <c r="BG43" s="143" t="str">
        <f>IF(AND($AO$27&gt;=0.2,$AO$27&lt;0.5),"Y","N")</f>
        <v>N</v>
      </c>
      <c r="BH43" s="204" t="str">
        <f>IF(BG43="Y",IF($AO$23&gt;=-477.7*LN($AO$22)+2896.1,"Y","N"),"N")</f>
        <v>N</v>
      </c>
      <c r="BM43" s="325" t="s">
        <v>321</v>
      </c>
      <c r="BN43" s="313" t="s">
        <v>204</v>
      </c>
      <c r="BO43" s="314"/>
      <c r="BP43" s="314"/>
      <c r="BQ43" s="315"/>
      <c r="BR43" s="132"/>
      <c r="BS43" s="132"/>
      <c r="BT43" s="132"/>
      <c r="BU43" s="132"/>
      <c r="BV43" s="134"/>
    </row>
    <row r="44" spans="1:91" ht="21" x14ac:dyDescent="0.35">
      <c r="A44" s="308" t="s">
        <v>326</v>
      </c>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10"/>
      <c r="BC44" s="208" t="s">
        <v>342</v>
      </c>
      <c r="BD44" s="209" t="str">
        <f>IF(OR(BD36="Y",BD37="Y",BD38="Y",BD39="Y",BD40="Y",BD41="Y",BD42="Y",BD43="Y"),"Y","N")</f>
        <v>Y</v>
      </c>
      <c r="BE44" s="202" t="s">
        <v>341</v>
      </c>
      <c r="BF44" s="203">
        <v>0.5</v>
      </c>
      <c r="BG44" s="143" t="str">
        <f>IF($AO$27&gt;=0.5,"Y","N")</f>
        <v>N</v>
      </c>
      <c r="BH44" s="204" t="str">
        <f>IF(BG44="Y",IF($AO$23&gt;=1608.8*EXP(-0.01*$AO$22),"Y","N"),"N")</f>
        <v>N</v>
      </c>
      <c r="BM44" s="325"/>
      <c r="BN44" s="316" t="s">
        <v>202</v>
      </c>
      <c r="BO44" s="316"/>
      <c r="BP44" s="316" t="s">
        <v>203</v>
      </c>
      <c r="BQ44" s="316"/>
      <c r="BR44" s="132"/>
      <c r="BS44" s="132"/>
      <c r="BT44" s="132"/>
      <c r="BU44" s="132"/>
      <c r="BV44" s="134"/>
    </row>
    <row r="45" spans="1:91" ht="9.9499999999999993" customHeight="1" x14ac:dyDescent="0.25">
      <c r="A45" s="110"/>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111"/>
      <c r="BE45" s="185"/>
      <c r="BF45" s="186"/>
      <c r="BG45" s="210" t="s">
        <v>342</v>
      </c>
      <c r="BH45" s="209" t="str">
        <f>IF(OR(BH36="Y",BH37="Y",BH38="Y",BH39="Y",BH40="Y",BH41="Y",BH42="Y",BH43="Y",BH44="Y"),"Y","N")</f>
        <v>Y</v>
      </c>
      <c r="BM45" s="325"/>
      <c r="BN45" s="191">
        <v>0</v>
      </c>
      <c r="BO45" s="157">
        <f>BU6</f>
        <v>0</v>
      </c>
      <c r="BP45" s="157">
        <f>BU5</f>
        <v>0</v>
      </c>
      <c r="BQ45" s="191">
        <v>0</v>
      </c>
      <c r="BR45" s="132"/>
      <c r="BS45" s="132"/>
      <c r="BT45" s="132"/>
      <c r="BU45" s="132"/>
      <c r="BV45" s="134"/>
    </row>
    <row r="46" spans="1:91" ht="15" customHeight="1" x14ac:dyDescent="0.25">
      <c r="A46" s="112"/>
      <c r="B46" s="64"/>
      <c r="C46" s="64"/>
      <c r="D46" s="64"/>
      <c r="E46" s="64"/>
      <c r="F46" s="64"/>
      <c r="G46" s="64"/>
      <c r="H46" s="64"/>
      <c r="I46" s="64"/>
      <c r="J46" s="64"/>
      <c r="K46" s="64"/>
      <c r="L46" s="64"/>
      <c r="M46" s="10" t="s">
        <v>183</v>
      </c>
      <c r="N46" s="317" t="str">
        <f>N13</f>
        <v>Signalized</v>
      </c>
      <c r="O46" s="318"/>
      <c r="P46" s="318"/>
      <c r="Q46" s="318"/>
      <c r="R46" s="318"/>
      <c r="S46" s="318"/>
      <c r="T46" s="319"/>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113"/>
      <c r="BC46" s="223" t="s">
        <v>363</v>
      </c>
      <c r="BE46" s="264" t="s">
        <v>346</v>
      </c>
      <c r="BF46" s="265"/>
      <c r="BG46" s="265"/>
      <c r="BH46" s="266"/>
      <c r="BM46" s="350"/>
      <c r="BN46" s="177">
        <f>BU5</f>
        <v>0</v>
      </c>
      <c r="BO46" s="177">
        <f>BU6</f>
        <v>0</v>
      </c>
      <c r="BP46" s="177">
        <f>BU5</f>
        <v>0</v>
      </c>
      <c r="BQ46" s="177">
        <f>BU6</f>
        <v>0</v>
      </c>
      <c r="BR46" s="132"/>
      <c r="BS46" s="132"/>
      <c r="BT46" s="132"/>
      <c r="BU46" s="132"/>
      <c r="BV46" s="134"/>
    </row>
    <row r="47" spans="1:91" ht="15" customHeight="1" x14ac:dyDescent="0.25">
      <c r="A47" s="112"/>
      <c r="B47" s="64"/>
      <c r="C47" s="64"/>
      <c r="D47" s="64"/>
      <c r="E47" s="64"/>
      <c r="F47" s="64"/>
      <c r="G47" s="64"/>
      <c r="H47" s="64"/>
      <c r="I47" s="64"/>
      <c r="J47" s="64"/>
      <c r="K47" s="64"/>
      <c r="L47" s="64"/>
      <c r="M47" s="10" t="s">
        <v>264</v>
      </c>
      <c r="N47" s="317">
        <f>IF(AL15="Left Turn Lane",AO24,AO34)</f>
        <v>130</v>
      </c>
      <c r="O47" s="318"/>
      <c r="P47" s="318"/>
      <c r="Q47" s="318"/>
      <c r="R47" s="318"/>
      <c r="S47" s="318"/>
      <c r="T47" s="319"/>
      <c r="U47" s="64"/>
      <c r="V47" s="64"/>
      <c r="W47" s="64"/>
      <c r="X47" s="64"/>
      <c r="Y47" s="64"/>
      <c r="Z47" s="64"/>
      <c r="AA47" s="64"/>
      <c r="AB47" s="64"/>
      <c r="AC47" s="64"/>
      <c r="AD47" s="5"/>
      <c r="AE47" s="5"/>
      <c r="AF47" s="5"/>
      <c r="AG47" s="5"/>
      <c r="AH47" s="5"/>
      <c r="AI47" s="5"/>
      <c r="AJ47" s="5"/>
      <c r="AK47" s="5"/>
      <c r="AL47" s="64"/>
      <c r="AM47" s="64"/>
      <c r="AN47" s="64"/>
      <c r="AO47" s="64"/>
      <c r="AP47" s="64"/>
      <c r="AQ47" s="64"/>
      <c r="AR47" s="64"/>
      <c r="AS47" s="64"/>
      <c r="AT47" s="64"/>
      <c r="AU47" s="113"/>
      <c r="BC47" s="224" t="str">
        <f>IF(AL15="Right Turn Lane",AO34/AO33,"N/A")</f>
        <v>N/A</v>
      </c>
      <c r="BE47" s="202" t="s">
        <v>333</v>
      </c>
      <c r="BF47" s="203">
        <v>0</v>
      </c>
      <c r="BG47" s="143" t="str">
        <f>IF($AO$27&lt;0.01,"Y","N")</f>
        <v>N</v>
      </c>
      <c r="BH47" s="204" t="str">
        <f>IF(BG47="Y","N","N")</f>
        <v>N</v>
      </c>
      <c r="BM47" s="372" t="s">
        <v>294</v>
      </c>
      <c r="BN47" s="373"/>
      <c r="BO47" s="178" t="str">
        <f>AO34</f>
        <v>N/A</v>
      </c>
      <c r="BP47" s="178"/>
      <c r="BQ47" s="178"/>
      <c r="BR47" s="178"/>
      <c r="BS47" s="178"/>
      <c r="BT47" s="178"/>
      <c r="BU47" s="178"/>
      <c r="BV47" s="179"/>
    </row>
    <row r="48" spans="1:91" ht="15" customHeight="1" x14ac:dyDescent="0.25">
      <c r="A48" s="112"/>
      <c r="B48" s="64"/>
      <c r="C48" s="64"/>
      <c r="D48" s="64"/>
      <c r="E48" s="64"/>
      <c r="F48" s="64"/>
      <c r="G48" s="64"/>
      <c r="H48" s="64"/>
      <c r="I48" s="64"/>
      <c r="J48" s="64"/>
      <c r="K48" s="64"/>
      <c r="L48" s="64"/>
      <c r="M48" s="10" t="s">
        <v>266</v>
      </c>
      <c r="N48" s="271" t="s">
        <v>267</v>
      </c>
      <c r="O48" s="272"/>
      <c r="P48" s="272"/>
      <c r="Q48" s="272"/>
      <c r="R48" s="272"/>
      <c r="S48" s="272"/>
      <c r="T48" s="273"/>
      <c r="U48" s="69"/>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113"/>
      <c r="BE48" s="202" t="s">
        <v>334</v>
      </c>
      <c r="BF48" s="203">
        <v>0.01</v>
      </c>
      <c r="BG48" s="143" t="str">
        <f>IF(AND($AO$27&gt;=0.01,$AO$27&lt;0.02),"Y","N")</f>
        <v>N</v>
      </c>
      <c r="BH48" s="204" t="str">
        <f>IF(BG48="Y",IF($AO$23&gt;=-464.2*LN($AO$22)+3654.7,"Y","N"),"N")</f>
        <v>N</v>
      </c>
      <c r="BM48" s="180"/>
      <c r="BN48" s="136" t="s">
        <v>299</v>
      </c>
      <c r="BO48" s="181" t="s">
        <v>301</v>
      </c>
      <c r="BP48" s="374" t="s">
        <v>300</v>
      </c>
      <c r="BQ48" s="374"/>
      <c r="BR48" s="169"/>
      <c r="BS48" s="169"/>
      <c r="BT48" s="169"/>
      <c r="BU48" s="169"/>
      <c r="BV48" s="182"/>
    </row>
    <row r="49" spans="1:74" ht="15" customHeight="1" x14ac:dyDescent="0.25">
      <c r="A49" s="112"/>
      <c r="B49" s="64"/>
      <c r="C49" s="64"/>
      <c r="D49" s="64"/>
      <c r="E49" s="64"/>
      <c r="F49" s="64"/>
      <c r="G49" s="64"/>
      <c r="H49" s="64"/>
      <c r="I49" s="64"/>
      <c r="J49" s="64"/>
      <c r="K49" s="64"/>
      <c r="L49" s="64"/>
      <c r="M49" s="10" t="s">
        <v>268</v>
      </c>
      <c r="N49" s="271">
        <v>40</v>
      </c>
      <c r="O49" s="272"/>
      <c r="P49" s="272"/>
      <c r="Q49" s="272"/>
      <c r="R49" s="272"/>
      <c r="S49" s="272"/>
      <c r="T49" s="273"/>
      <c r="U49" s="64"/>
      <c r="V49" s="64"/>
      <c r="W49" s="64"/>
      <c r="X49" s="64"/>
      <c r="Y49" s="64"/>
      <c r="Z49" s="64"/>
      <c r="AA49" s="64"/>
      <c r="AB49" s="64"/>
      <c r="AC49" s="64"/>
      <c r="AD49" s="5"/>
      <c r="AE49" s="5"/>
      <c r="AF49" s="10" t="s">
        <v>263</v>
      </c>
      <c r="AG49" s="274">
        <f>IF(OR(M42="Yes",AK42="Yes"),IF(N48="Known",IF(ROUND(N47/N49,0.1)&lt;1,1,ROUND(N47/N49,0.1)),IF(ROUND(N47/N48,0.1)&lt;1,1,ROUND(N47/N48,0.1))),"N/A")</f>
        <v>3</v>
      </c>
      <c r="AH49" s="275"/>
      <c r="AI49" s="275"/>
      <c r="AJ49" s="275"/>
      <c r="AK49" s="275"/>
      <c r="AL49" s="275"/>
      <c r="AM49" s="276"/>
      <c r="AN49" s="64"/>
      <c r="AO49" s="64"/>
      <c r="AP49" s="64"/>
      <c r="AQ49" s="64"/>
      <c r="AR49" s="64"/>
      <c r="AS49" s="64"/>
      <c r="AT49" s="64"/>
      <c r="AU49" s="113"/>
      <c r="BE49" s="202" t="s">
        <v>335</v>
      </c>
      <c r="BF49" s="203">
        <v>0.02</v>
      </c>
      <c r="BG49" s="143" t="str">
        <f>IF(AND($AO$27&gt;=0.02,$AO$27&lt;0.03),"Y","N")</f>
        <v>N</v>
      </c>
      <c r="BH49" s="204" t="str">
        <f>IF(BG49="Y",IF($AO$23&gt;=-456.6*LN($AO$22)+3451.3,"Y","N"),"N")</f>
        <v>N</v>
      </c>
      <c r="BM49" s="138" t="s">
        <v>295</v>
      </c>
      <c r="BN49" s="142" t="str">
        <f>IF($AK$40="Figure 9","Y","N")</f>
        <v>N</v>
      </c>
      <c r="BO49" s="142" t="str">
        <f>IF($BO$47&lt;26,"N","Y")</f>
        <v>Y</v>
      </c>
      <c r="BP49" s="183">
        <f>IF(AND(BN49="Y",BO49="Y"),'Right-Warrant'!F4,0)</f>
        <v>0</v>
      </c>
      <c r="BQ49" s="184"/>
      <c r="BR49" s="169"/>
      <c r="BS49" s="169"/>
      <c r="BT49" s="169"/>
      <c r="BU49" s="169"/>
      <c r="BV49" s="182"/>
    </row>
    <row r="50" spans="1:74" ht="9.9499999999999993" customHeight="1" x14ac:dyDescent="0.25">
      <c r="A50" s="112"/>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113"/>
      <c r="BE50" s="202" t="s">
        <v>336</v>
      </c>
      <c r="BF50" s="203">
        <v>0.03</v>
      </c>
      <c r="BG50" s="143" t="str">
        <f>IF(AND($AO$27&gt;=0.03,$AO$27&lt;0.05),"Y","N")</f>
        <v>N</v>
      </c>
      <c r="BH50" s="204" t="str">
        <f>IF(BG50="Y",IF($AO$23&gt;=-457.4*LN($AO$22)+3368.4,"Y","N"),"N")</f>
        <v>N</v>
      </c>
      <c r="BM50" s="138" t="s">
        <v>296</v>
      </c>
      <c r="BN50" s="142" t="str">
        <f>IF($AK$40="Figure 10","Y","N")</f>
        <v>N</v>
      </c>
      <c r="BO50" s="142" t="str">
        <f>IF($BO$47&lt;14,"N","Y")</f>
        <v>Y</v>
      </c>
      <c r="BP50" s="183">
        <f>IF(AND(BN50="Y",BO50="Y"),'Right-Warrant'!N4,0)</f>
        <v>0</v>
      </c>
      <c r="BQ50" s="184"/>
      <c r="BR50" s="169"/>
      <c r="BS50" s="169"/>
      <c r="BT50" s="169"/>
      <c r="BU50" s="169"/>
      <c r="BV50" s="182"/>
    </row>
    <row r="51" spans="1:74" ht="15" x14ac:dyDescent="0.25">
      <c r="A51" s="112"/>
      <c r="B51" s="64"/>
      <c r="C51" s="64"/>
      <c r="D51" s="64"/>
      <c r="E51" s="64"/>
      <c r="F51" s="64"/>
      <c r="G51" s="64"/>
      <c r="H51" s="64"/>
      <c r="I51" s="296" t="s">
        <v>270</v>
      </c>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64"/>
      <c r="AO51" s="64"/>
      <c r="AP51" s="64"/>
      <c r="AQ51" s="64"/>
      <c r="AR51" s="64"/>
      <c r="AS51" s="64"/>
      <c r="AT51" s="64"/>
      <c r="AU51" s="113"/>
      <c r="BE51" s="202" t="s">
        <v>337</v>
      </c>
      <c r="BF51" s="203">
        <v>0.05</v>
      </c>
      <c r="BG51" s="143" t="str">
        <f>IF(AND($AO$27&gt;=0.05,$AO$27&lt;0.1),"Y","N")</f>
        <v>N</v>
      </c>
      <c r="BH51" s="204" t="str">
        <f>IF(BG51="Y",IF($AO$23&gt;=-465.1*LN($AO$22)+3304.9,"Y","N"),"N")</f>
        <v>N</v>
      </c>
      <c r="BM51" s="138" t="s">
        <v>297</v>
      </c>
      <c r="BN51" s="142" t="str">
        <f>IF($AK$40="Figure 11","Y","N")</f>
        <v>N</v>
      </c>
      <c r="BO51" s="142" t="str">
        <f>IF($BO$47&lt;28,"N","Y")</f>
        <v>Y</v>
      </c>
      <c r="BP51" s="183">
        <f>IF(AND(BN51="Y",BO51="Y"),'Right-Warrant'!U4,0)</f>
        <v>0</v>
      </c>
      <c r="BQ51" s="184"/>
      <c r="BR51" s="169"/>
      <c r="BS51" s="169"/>
      <c r="BT51" s="169"/>
      <c r="BU51" s="169"/>
      <c r="BV51" s="182"/>
    </row>
    <row r="52" spans="1:74" ht="15" x14ac:dyDescent="0.25">
      <c r="A52" s="112"/>
      <c r="B52" s="64"/>
      <c r="C52" s="64"/>
      <c r="D52" s="64"/>
      <c r="E52" s="64"/>
      <c r="F52" s="64"/>
      <c r="G52" s="64"/>
      <c r="H52" s="64"/>
      <c r="I52" s="311" t="s">
        <v>249</v>
      </c>
      <c r="J52" s="311"/>
      <c r="K52" s="311"/>
      <c r="L52" s="311"/>
      <c r="M52" s="311"/>
      <c r="N52" s="311"/>
      <c r="O52" s="311"/>
      <c r="P52" s="312" t="s">
        <v>253</v>
      </c>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64"/>
      <c r="AO52" s="64"/>
      <c r="AP52" s="64"/>
      <c r="AQ52" s="64"/>
      <c r="AR52" s="64"/>
      <c r="AS52" s="64"/>
      <c r="AT52" s="64"/>
      <c r="AU52" s="113"/>
      <c r="BE52" s="202" t="s">
        <v>338</v>
      </c>
      <c r="BF52" s="203">
        <v>0.1</v>
      </c>
      <c r="BG52" s="143" t="str">
        <f>IF(AND($AO$27&gt;=0.1,$AO$27&lt;0.15),"Y","N")</f>
        <v>Y</v>
      </c>
      <c r="BH52" s="204" t="str">
        <f>IF(BG52="Y",IF($AO$23&gt;=-469.6*LN($AO$22)+3184.1,"Y","N"),"N")</f>
        <v>Y</v>
      </c>
      <c r="BM52" s="138" t="s">
        <v>298</v>
      </c>
      <c r="BN52" s="142" t="str">
        <f>IF($AK$40="Figure 12","Y","N")</f>
        <v>N</v>
      </c>
      <c r="BO52" s="142" t="str">
        <f>IF($BO$47&lt;20,"N","Y")</f>
        <v>Y</v>
      </c>
      <c r="BP52" s="183">
        <f>IF(AND(BN52="Y",BO52="Y"),'Right-Warrant'!AB4,0)</f>
        <v>0</v>
      </c>
      <c r="BQ52" s="184"/>
      <c r="BR52" s="169"/>
      <c r="BS52" s="169"/>
      <c r="BT52" s="169"/>
      <c r="BU52" s="169"/>
      <c r="BV52" s="182"/>
    </row>
    <row r="53" spans="1:74" x14ac:dyDescent="0.2">
      <c r="A53" s="114"/>
      <c r="B53" s="5"/>
      <c r="C53" s="5"/>
      <c r="D53" s="5"/>
      <c r="E53" s="5"/>
      <c r="F53" s="5"/>
      <c r="G53" s="5"/>
      <c r="H53" s="5"/>
      <c r="I53" s="311"/>
      <c r="J53" s="311"/>
      <c r="K53" s="311"/>
      <c r="L53" s="311"/>
      <c r="M53" s="311"/>
      <c r="N53" s="311"/>
      <c r="O53" s="311"/>
      <c r="P53" s="267" t="s">
        <v>250</v>
      </c>
      <c r="Q53" s="267"/>
      <c r="R53" s="267"/>
      <c r="S53" s="267"/>
      <c r="T53" s="267"/>
      <c r="U53" s="267"/>
      <c r="V53" s="267"/>
      <c r="W53" s="267"/>
      <c r="X53" s="267" t="s">
        <v>251</v>
      </c>
      <c r="Y53" s="267"/>
      <c r="Z53" s="267"/>
      <c r="AA53" s="267"/>
      <c r="AB53" s="267"/>
      <c r="AC53" s="267"/>
      <c r="AD53" s="267"/>
      <c r="AE53" s="267"/>
      <c r="AF53" s="267" t="s">
        <v>252</v>
      </c>
      <c r="AG53" s="267"/>
      <c r="AH53" s="267"/>
      <c r="AI53" s="267"/>
      <c r="AJ53" s="267"/>
      <c r="AK53" s="267"/>
      <c r="AL53" s="267"/>
      <c r="AM53" s="267"/>
      <c r="AN53" s="62"/>
      <c r="AO53" s="62"/>
      <c r="AP53" s="62"/>
      <c r="AQ53" s="62"/>
      <c r="AR53" s="62"/>
      <c r="AS53" s="62"/>
      <c r="AT53" s="62"/>
      <c r="AU53" s="115"/>
      <c r="BE53" s="202" t="s">
        <v>339</v>
      </c>
      <c r="BF53" s="203">
        <v>0.15</v>
      </c>
      <c r="BG53" s="143" t="str">
        <f>IF(AND($AO$27&gt;=0.15,$AO$27&lt;0.2),"Y","N")</f>
        <v>N</v>
      </c>
      <c r="BH53" s="204" t="str">
        <f>IF(BG53="Y",IF($AO$23&gt;=-472.7*LN($AO$22)+3123.1,"Y","N"),"N")</f>
        <v>N</v>
      </c>
      <c r="BM53" s="185"/>
      <c r="BN53" s="186"/>
      <c r="BO53" s="186"/>
      <c r="BP53" s="142">
        <f>SUM(BP49:BP52)</f>
        <v>0</v>
      </c>
      <c r="BQ53" s="186"/>
      <c r="BR53" s="186"/>
      <c r="BS53" s="186"/>
      <c r="BT53" s="186"/>
      <c r="BU53" s="186"/>
      <c r="BV53" s="187"/>
    </row>
    <row r="54" spans="1:74" x14ac:dyDescent="0.2">
      <c r="A54" s="114"/>
      <c r="B54" s="5"/>
      <c r="C54" s="5"/>
      <c r="D54" s="5"/>
      <c r="E54" s="5"/>
      <c r="F54" s="5"/>
      <c r="G54" s="5"/>
      <c r="H54" s="5"/>
      <c r="I54" s="311"/>
      <c r="J54" s="311"/>
      <c r="K54" s="311"/>
      <c r="L54" s="311"/>
      <c r="M54" s="311"/>
      <c r="N54" s="311"/>
      <c r="O54" s="311"/>
      <c r="P54" s="312" t="s">
        <v>254</v>
      </c>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62"/>
      <c r="AO54" s="62"/>
      <c r="AP54" s="62"/>
      <c r="AQ54" s="62"/>
      <c r="AR54" s="62"/>
      <c r="AS54" s="62"/>
      <c r="AT54" s="62"/>
      <c r="AU54" s="115"/>
      <c r="BE54" s="202" t="s">
        <v>340</v>
      </c>
      <c r="BF54" s="203">
        <v>0.2</v>
      </c>
      <c r="BG54" s="143" t="str">
        <f>IF(AND($AO$27&gt;=0.2,$AO$27&lt;0.5),"Y","N")</f>
        <v>N</v>
      </c>
      <c r="BH54" s="204" t="str">
        <f>IF(BG54="Y",IF($AO$23&gt;=-466.7*LN($AO$22)+3034.5,"Y","N"),"N")</f>
        <v>N</v>
      </c>
    </row>
    <row r="55" spans="1:74" x14ac:dyDescent="0.2">
      <c r="A55" s="114"/>
      <c r="B55" s="5"/>
      <c r="C55" s="5"/>
      <c r="D55" s="5"/>
      <c r="E55" s="5"/>
      <c r="F55" s="5"/>
      <c r="G55" s="5"/>
      <c r="H55" s="5"/>
      <c r="I55" s="311"/>
      <c r="J55" s="311"/>
      <c r="K55" s="311"/>
      <c r="L55" s="311"/>
      <c r="M55" s="311"/>
      <c r="N55" s="311"/>
      <c r="O55" s="311"/>
      <c r="P55" s="267" t="s">
        <v>255</v>
      </c>
      <c r="Q55" s="267"/>
      <c r="R55" s="267"/>
      <c r="S55" s="267"/>
      <c r="T55" s="267" t="s">
        <v>260</v>
      </c>
      <c r="U55" s="267"/>
      <c r="V55" s="267"/>
      <c r="W55" s="267"/>
      <c r="X55" s="267" t="s">
        <v>255</v>
      </c>
      <c r="Y55" s="267"/>
      <c r="Z55" s="267"/>
      <c r="AA55" s="267"/>
      <c r="AB55" s="267" t="s">
        <v>260</v>
      </c>
      <c r="AC55" s="267"/>
      <c r="AD55" s="267"/>
      <c r="AE55" s="267"/>
      <c r="AF55" s="267" t="s">
        <v>255</v>
      </c>
      <c r="AG55" s="267"/>
      <c r="AH55" s="267"/>
      <c r="AI55" s="267"/>
      <c r="AJ55" s="267" t="s">
        <v>260</v>
      </c>
      <c r="AK55" s="267"/>
      <c r="AL55" s="267"/>
      <c r="AM55" s="267"/>
      <c r="AN55" s="62"/>
      <c r="AO55" s="62"/>
      <c r="AP55" s="62"/>
      <c r="AQ55" s="62"/>
      <c r="AR55" s="62"/>
      <c r="AS55" s="62"/>
      <c r="AT55" s="62"/>
      <c r="AU55" s="115"/>
      <c r="BE55" s="202" t="s">
        <v>341</v>
      </c>
      <c r="BF55" s="203">
        <v>0.5</v>
      </c>
      <c r="BG55" s="143" t="str">
        <f>IF($AO$27&gt;=0.5,"Y","N")</f>
        <v>N</v>
      </c>
      <c r="BH55" s="204" t="str">
        <f>IF(BG55="Y",IF($AO$23&gt;=1635.5*EXP(-0.006*$AO$22),"Y","N"),"N")</f>
        <v>N</v>
      </c>
    </row>
    <row r="56" spans="1:74" x14ac:dyDescent="0.2">
      <c r="A56" s="114"/>
      <c r="B56" s="5"/>
      <c r="C56" s="5"/>
      <c r="D56" s="5"/>
      <c r="E56" s="5"/>
      <c r="F56" s="5"/>
      <c r="G56" s="5"/>
      <c r="H56" s="5"/>
      <c r="I56" s="267" t="s">
        <v>84</v>
      </c>
      <c r="J56" s="267"/>
      <c r="K56" s="267"/>
      <c r="L56" s="267"/>
      <c r="M56" s="267"/>
      <c r="N56" s="267"/>
      <c r="O56" s="267"/>
      <c r="P56" s="263" t="s">
        <v>256</v>
      </c>
      <c r="Q56" s="263"/>
      <c r="R56" s="263"/>
      <c r="S56" s="263"/>
      <c r="T56" s="263" t="s">
        <v>256</v>
      </c>
      <c r="U56" s="263"/>
      <c r="V56" s="263"/>
      <c r="W56" s="263"/>
      <c r="X56" s="263" t="s">
        <v>257</v>
      </c>
      <c r="Y56" s="263"/>
      <c r="Z56" s="263"/>
      <c r="AA56" s="263"/>
      <c r="AB56" s="263" t="s">
        <v>257</v>
      </c>
      <c r="AC56" s="263"/>
      <c r="AD56" s="263"/>
      <c r="AE56" s="263"/>
      <c r="AF56" s="263" t="s">
        <v>257</v>
      </c>
      <c r="AG56" s="263"/>
      <c r="AH56" s="263"/>
      <c r="AI56" s="263"/>
      <c r="AJ56" s="263" t="s">
        <v>257</v>
      </c>
      <c r="AK56" s="263"/>
      <c r="AL56" s="263"/>
      <c r="AM56" s="263"/>
      <c r="AN56" s="62"/>
      <c r="AO56" s="62"/>
      <c r="AP56" s="62"/>
      <c r="AQ56" s="62"/>
      <c r="AR56" s="62"/>
      <c r="AS56" s="62"/>
      <c r="AT56" s="62"/>
      <c r="AU56" s="115"/>
      <c r="BE56" s="185"/>
      <c r="BF56" s="186"/>
      <c r="BG56" s="210" t="s">
        <v>342</v>
      </c>
      <c r="BH56" s="209" t="str">
        <f>IF(OR(BH47="Y",BH48="Y",BH49="Y",BH50="Y",BH51="Y",BH52="Y",BH53="Y",BH54="Y",BH55="Y"),"Y","N")</f>
        <v>Y</v>
      </c>
    </row>
    <row r="57" spans="1:74" x14ac:dyDescent="0.2">
      <c r="A57" s="114"/>
      <c r="B57" s="5"/>
      <c r="C57" s="5"/>
      <c r="D57" s="5"/>
      <c r="E57" s="5"/>
      <c r="F57" s="5"/>
      <c r="G57" s="5"/>
      <c r="H57" s="5"/>
      <c r="I57" s="267" t="s">
        <v>85</v>
      </c>
      <c r="J57" s="267"/>
      <c r="K57" s="267"/>
      <c r="L57" s="267"/>
      <c r="M57" s="267"/>
      <c r="N57" s="267"/>
      <c r="O57" s="267"/>
      <c r="P57" s="263" t="s">
        <v>256</v>
      </c>
      <c r="Q57" s="263"/>
      <c r="R57" s="263"/>
      <c r="S57" s="263"/>
      <c r="T57" s="263" t="s">
        <v>256</v>
      </c>
      <c r="U57" s="263"/>
      <c r="V57" s="263"/>
      <c r="W57" s="263"/>
      <c r="X57" s="263" t="s">
        <v>258</v>
      </c>
      <c r="Y57" s="263"/>
      <c r="Z57" s="263"/>
      <c r="AA57" s="263"/>
      <c r="AB57" s="263" t="s">
        <v>259</v>
      </c>
      <c r="AC57" s="263"/>
      <c r="AD57" s="263"/>
      <c r="AE57" s="263"/>
      <c r="AF57" s="263" t="s">
        <v>257</v>
      </c>
      <c r="AG57" s="263"/>
      <c r="AH57" s="263"/>
      <c r="AI57" s="263"/>
      <c r="AJ57" s="263" t="s">
        <v>259</v>
      </c>
      <c r="AK57" s="263"/>
      <c r="AL57" s="263"/>
      <c r="AM57" s="263"/>
      <c r="AN57" s="62"/>
      <c r="AO57" s="62"/>
      <c r="AP57" s="62"/>
      <c r="AQ57" s="62"/>
      <c r="AR57" s="62"/>
      <c r="AS57" s="62"/>
      <c r="AT57" s="62"/>
      <c r="AU57" s="115"/>
    </row>
    <row r="58" spans="1:74" ht="9.9499999999999993" customHeight="1" x14ac:dyDescent="0.2">
      <c r="A58" s="114"/>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62"/>
      <c r="AH58" s="62"/>
      <c r="AI58" s="62"/>
      <c r="AJ58" s="62"/>
      <c r="AK58" s="62"/>
      <c r="AL58" s="62"/>
      <c r="AM58" s="62"/>
      <c r="AN58" s="62"/>
      <c r="AO58" s="62"/>
      <c r="AP58" s="62"/>
      <c r="AQ58" s="62"/>
      <c r="AR58" s="62"/>
      <c r="AS58" s="62"/>
      <c r="AT58" s="62"/>
      <c r="AU58" s="115"/>
    </row>
    <row r="59" spans="1:74" ht="21" x14ac:dyDescent="0.2">
      <c r="A59" s="114"/>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3" t="str">
        <f>""&amp; $AL$15 &amp;" Storage Length, Condition A:"</f>
        <v>Left Turn Lane Storage Length, Condition A:</v>
      </c>
      <c r="AH59" s="254" t="str">
        <f>IF(OR(AK42="Yes",M42="Yes"),VLOOKUP(N14,CA4:CM13,11),"N/A")</f>
        <v>N/A</v>
      </c>
      <c r="AI59" s="255"/>
      <c r="AJ59" s="255"/>
      <c r="AK59" s="255"/>
      <c r="AL59" s="255"/>
      <c r="AM59" s="256"/>
      <c r="AN59" s="68" t="s">
        <v>278</v>
      </c>
      <c r="AO59" s="62"/>
      <c r="AP59" s="62"/>
      <c r="AQ59" s="62"/>
      <c r="AR59" s="62"/>
      <c r="AS59" s="62"/>
      <c r="AT59" s="62"/>
      <c r="AU59" s="115"/>
    </row>
    <row r="60" spans="1:74" ht="21" x14ac:dyDescent="0.2">
      <c r="A60" s="114"/>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3" t="s">
        <v>302</v>
      </c>
      <c r="AH60" s="254">
        <f>IF(OR(AK42="Yes",M42="Yes"),IF(VLOOKUP(N14,CA4:CM13,12)=0,"N/A",VLOOKUP(N14,CA4:CM13,12)),"N/A")</f>
        <v>175</v>
      </c>
      <c r="AI60" s="255"/>
      <c r="AJ60" s="255"/>
      <c r="AK60" s="255"/>
      <c r="AL60" s="255"/>
      <c r="AM60" s="256"/>
      <c r="AN60" s="68" t="s">
        <v>278</v>
      </c>
      <c r="AO60" s="62"/>
      <c r="AP60" s="62"/>
      <c r="AQ60" s="62"/>
      <c r="AR60" s="62"/>
      <c r="AS60" s="62"/>
      <c r="AT60" s="62"/>
      <c r="AU60" s="115"/>
    </row>
    <row r="61" spans="1:74" ht="21" x14ac:dyDescent="0.2">
      <c r="A61" s="114"/>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3" t="s">
        <v>303</v>
      </c>
      <c r="AH61" s="254">
        <f>IF(OR(AK42="Yes",M42="Yes"),IF(VLOOKUP(N14,CA4:CM13,13)=0,"N/A",VLOOKUP(N14,CA4:CM13,13)),"N/A")</f>
        <v>243</v>
      </c>
      <c r="AI61" s="255"/>
      <c r="AJ61" s="255"/>
      <c r="AK61" s="255"/>
      <c r="AL61" s="255"/>
      <c r="AM61" s="256"/>
      <c r="AN61" s="68" t="s">
        <v>278</v>
      </c>
      <c r="AO61" s="62"/>
      <c r="AP61" s="62"/>
      <c r="AQ61" s="62"/>
      <c r="AR61" s="62"/>
      <c r="AS61" s="62"/>
      <c r="AT61" s="62"/>
      <c r="AU61" s="115"/>
    </row>
    <row r="62" spans="1:74" ht="21" x14ac:dyDescent="0.2">
      <c r="A62" s="114"/>
      <c r="B62" s="62"/>
      <c r="C62" s="62"/>
      <c r="D62" s="62"/>
      <c r="E62" s="62"/>
      <c r="F62" s="62"/>
      <c r="G62" s="62"/>
      <c r="H62" s="62"/>
      <c r="I62" s="5"/>
      <c r="J62" s="5"/>
      <c r="K62" s="5"/>
      <c r="L62" s="5"/>
      <c r="M62" s="5"/>
      <c r="N62" s="5"/>
      <c r="O62" s="5"/>
      <c r="P62" s="5"/>
      <c r="Q62" s="5"/>
      <c r="R62" s="5"/>
      <c r="S62" s="5"/>
      <c r="T62" s="5"/>
      <c r="U62" s="5"/>
      <c r="V62" s="5"/>
      <c r="W62" s="5"/>
      <c r="X62" s="5"/>
      <c r="Y62" s="5"/>
      <c r="Z62" s="5"/>
      <c r="AA62" s="5"/>
      <c r="AB62" s="5"/>
      <c r="AC62" s="5"/>
      <c r="AD62" s="5"/>
      <c r="AE62" s="5"/>
      <c r="AF62" s="5"/>
      <c r="AG62" s="63" t="str">
        <f>"Required " &amp; AL15 &amp; " Storage Length:"</f>
        <v>Required Left Turn Lane Storage Length:</v>
      </c>
      <c r="AH62" s="254">
        <f>IF(OR(M42="Yes",AK42="Yes"),CJ14,"N/A")</f>
        <v>250</v>
      </c>
      <c r="AI62" s="255"/>
      <c r="AJ62" s="255"/>
      <c r="AK62" s="255"/>
      <c r="AL62" s="255"/>
      <c r="AM62" s="256"/>
      <c r="AN62" s="68" t="s">
        <v>278</v>
      </c>
      <c r="AO62" s="62"/>
      <c r="AP62" s="62"/>
      <c r="AQ62" s="62"/>
      <c r="AR62" s="62"/>
      <c r="AS62" s="62"/>
      <c r="AT62" s="62"/>
      <c r="AU62" s="115"/>
    </row>
    <row r="63" spans="1:74" ht="9.9499999999999993" customHeight="1" x14ac:dyDescent="0.2">
      <c r="A63" s="114"/>
      <c r="B63" s="62"/>
      <c r="C63" s="62"/>
      <c r="D63" s="62"/>
      <c r="E63" s="62"/>
      <c r="F63" s="62"/>
      <c r="G63" s="62"/>
      <c r="H63" s="62"/>
      <c r="I63" s="5"/>
      <c r="J63" s="5"/>
      <c r="K63" s="5"/>
      <c r="L63" s="5"/>
      <c r="M63" s="5"/>
      <c r="N63" s="5"/>
      <c r="O63" s="5"/>
      <c r="P63" s="5"/>
      <c r="Q63" s="5"/>
      <c r="R63" s="5"/>
      <c r="S63" s="5"/>
      <c r="T63" s="5"/>
      <c r="U63" s="5"/>
      <c r="V63" s="5"/>
      <c r="W63" s="5"/>
      <c r="X63" s="5"/>
      <c r="Y63" s="5"/>
      <c r="Z63" s="5"/>
      <c r="AA63" s="5"/>
      <c r="AB63" s="5"/>
      <c r="AC63" s="5"/>
      <c r="AD63" s="5"/>
      <c r="AE63" s="5"/>
      <c r="AF63" s="5"/>
      <c r="AG63" s="63"/>
      <c r="AH63" s="70"/>
      <c r="AI63" s="70"/>
      <c r="AJ63" s="70"/>
      <c r="AK63" s="70"/>
      <c r="AL63" s="70"/>
      <c r="AM63" s="70"/>
      <c r="AN63" s="68"/>
      <c r="AO63" s="62"/>
      <c r="AP63" s="62"/>
      <c r="AQ63" s="62"/>
      <c r="AR63" s="62"/>
      <c r="AS63" s="62"/>
      <c r="AT63" s="62"/>
      <c r="AU63" s="115"/>
    </row>
    <row r="64" spans="1:74" ht="15" customHeight="1" x14ac:dyDescent="0.2">
      <c r="A64" s="114"/>
      <c r="B64" s="62"/>
      <c r="C64" s="62"/>
      <c r="D64" s="62"/>
      <c r="E64" s="62"/>
      <c r="F64" s="62"/>
      <c r="G64" s="62"/>
      <c r="H64" s="62"/>
      <c r="I64" s="5"/>
      <c r="J64" s="5"/>
      <c r="K64" s="5"/>
      <c r="L64" s="5"/>
      <c r="M64" s="5"/>
      <c r="N64" s="5"/>
      <c r="O64" s="5"/>
      <c r="P64" s="5"/>
      <c r="Q64" s="5"/>
      <c r="R64" s="277" t="s">
        <v>279</v>
      </c>
      <c r="S64" s="277"/>
      <c r="T64" s="277"/>
      <c r="U64" s="277"/>
      <c r="V64" s="277"/>
      <c r="W64" s="277"/>
      <c r="X64" s="277"/>
      <c r="Y64" s="277"/>
      <c r="Z64" s="277"/>
      <c r="AA64" s="277"/>
      <c r="AB64" s="277"/>
      <c r="AC64" s="277"/>
      <c r="AD64" s="277"/>
      <c r="AE64" s="277"/>
      <c r="AF64" s="277"/>
      <c r="AG64" s="277"/>
      <c r="AH64" s="277"/>
      <c r="AI64" s="277"/>
      <c r="AJ64" s="277"/>
      <c r="AK64" s="277"/>
      <c r="AL64" s="277"/>
      <c r="AM64" s="277"/>
      <c r="AN64" s="68"/>
      <c r="AO64" s="62"/>
      <c r="AP64" s="62"/>
      <c r="AQ64" s="62"/>
      <c r="AR64" s="62"/>
      <c r="AS64" s="62"/>
      <c r="AT64" s="62"/>
      <c r="AU64" s="115"/>
    </row>
    <row r="65" spans="1:47" ht="15" customHeight="1" x14ac:dyDescent="0.2">
      <c r="A65" s="114"/>
      <c r="B65" s="62"/>
      <c r="C65" s="62"/>
      <c r="D65" s="62"/>
      <c r="E65" s="62"/>
      <c r="F65" s="62"/>
      <c r="G65" s="62"/>
      <c r="H65" s="62"/>
      <c r="I65" s="5"/>
      <c r="J65" s="5"/>
      <c r="K65" s="5"/>
      <c r="L65" s="5"/>
      <c r="M65" s="5"/>
      <c r="N65" s="5"/>
      <c r="O65" s="5"/>
      <c r="P65" s="5"/>
      <c r="Q65" s="5"/>
      <c r="R65" s="251" t="str">
        <f>IF(OR(M42="Yes",AK42="Yes"),IF(AND(N13="Signalized",AL15="Left Turn Lane",OR(AG49&gt;=8,N47&gt;300)),"Consider Dual Left Turn Lanes and Operational Analyses","N/A"),"N/A")</f>
        <v>N/A</v>
      </c>
      <c r="S65" s="252"/>
      <c r="T65" s="252"/>
      <c r="U65" s="252"/>
      <c r="V65" s="252"/>
      <c r="W65" s="252"/>
      <c r="X65" s="252"/>
      <c r="Y65" s="252"/>
      <c r="Z65" s="252"/>
      <c r="AA65" s="252"/>
      <c r="AB65" s="252"/>
      <c r="AC65" s="252"/>
      <c r="AD65" s="252"/>
      <c r="AE65" s="252"/>
      <c r="AF65" s="252"/>
      <c r="AG65" s="252"/>
      <c r="AH65" s="252"/>
      <c r="AI65" s="252"/>
      <c r="AJ65" s="252"/>
      <c r="AK65" s="252"/>
      <c r="AL65" s="252"/>
      <c r="AM65" s="253"/>
      <c r="AN65" s="68"/>
      <c r="AO65" s="62"/>
      <c r="AP65" s="62"/>
      <c r="AQ65" s="62"/>
      <c r="AR65" s="62"/>
      <c r="AS65" s="62"/>
      <c r="AT65" s="62"/>
      <c r="AU65" s="115"/>
    </row>
    <row r="66" spans="1:47" ht="15" customHeight="1" thickBot="1" x14ac:dyDescent="0.25">
      <c r="A66" s="114"/>
      <c r="B66" s="281" t="s">
        <v>280</v>
      </c>
      <c r="C66" s="281"/>
      <c r="D66" s="281"/>
      <c r="E66" s="281"/>
      <c r="F66" s="281"/>
      <c r="G66" s="281"/>
      <c r="H66" s="281"/>
      <c r="I66" s="281"/>
      <c r="J66" s="281"/>
      <c r="K66" s="281"/>
      <c r="L66" s="281"/>
      <c r="M66" s="281"/>
      <c r="N66" s="5"/>
      <c r="O66" s="5"/>
      <c r="P66" s="5"/>
      <c r="Q66" s="5"/>
      <c r="R66" s="5"/>
      <c r="S66" s="5"/>
      <c r="T66" s="5"/>
      <c r="U66" s="5"/>
      <c r="V66" s="5"/>
      <c r="W66" s="5"/>
      <c r="X66" s="5"/>
      <c r="Y66" s="5"/>
      <c r="Z66" s="5"/>
      <c r="AA66" s="5"/>
      <c r="AB66" s="5"/>
      <c r="AC66" s="5"/>
      <c r="AD66" s="5"/>
      <c r="AE66" s="5"/>
      <c r="AF66" s="5"/>
      <c r="AG66" s="63"/>
      <c r="AH66" s="70"/>
      <c r="AI66" s="70"/>
      <c r="AJ66" s="70"/>
      <c r="AK66" s="70"/>
      <c r="AL66" s="70"/>
      <c r="AM66" s="5"/>
      <c r="AN66" s="68"/>
      <c r="AO66" s="62"/>
      <c r="AP66" s="62"/>
      <c r="AQ66" s="62"/>
      <c r="AR66" s="62"/>
      <c r="AS66" s="62"/>
      <c r="AT66" s="62"/>
      <c r="AU66" s="115"/>
    </row>
    <row r="67" spans="1:47" ht="15" customHeight="1" thickTop="1" x14ac:dyDescent="0.2">
      <c r="A67" s="114"/>
      <c r="B67" s="363"/>
      <c r="C67" s="364"/>
      <c r="D67" s="364"/>
      <c r="E67" s="364"/>
      <c r="F67" s="364"/>
      <c r="G67" s="364"/>
      <c r="H67" s="364"/>
      <c r="I67" s="364"/>
      <c r="J67" s="364"/>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4"/>
      <c r="AS67" s="364"/>
      <c r="AT67" s="365"/>
      <c r="AU67" s="115"/>
    </row>
    <row r="68" spans="1:47" ht="15" customHeight="1" x14ac:dyDescent="0.2">
      <c r="A68" s="114"/>
      <c r="B68" s="366"/>
      <c r="C68" s="367"/>
      <c r="D68" s="367"/>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367"/>
      <c r="AD68" s="367"/>
      <c r="AE68" s="367"/>
      <c r="AF68" s="367"/>
      <c r="AG68" s="367"/>
      <c r="AH68" s="367"/>
      <c r="AI68" s="367"/>
      <c r="AJ68" s="367"/>
      <c r="AK68" s="367"/>
      <c r="AL68" s="367"/>
      <c r="AM68" s="367"/>
      <c r="AN68" s="367"/>
      <c r="AO68" s="367"/>
      <c r="AP68" s="367"/>
      <c r="AQ68" s="367"/>
      <c r="AR68" s="367"/>
      <c r="AS68" s="367"/>
      <c r="AT68" s="368"/>
      <c r="AU68" s="115"/>
    </row>
    <row r="69" spans="1:47" ht="15" customHeight="1" thickBot="1" x14ac:dyDescent="0.25">
      <c r="A69" s="114"/>
      <c r="B69" s="369"/>
      <c r="C69" s="370"/>
      <c r="D69" s="370"/>
      <c r="E69" s="370"/>
      <c r="F69" s="370"/>
      <c r="G69" s="370"/>
      <c r="H69" s="370"/>
      <c r="I69" s="370"/>
      <c r="J69" s="370"/>
      <c r="K69" s="370"/>
      <c r="L69" s="370"/>
      <c r="M69" s="370"/>
      <c r="N69" s="370"/>
      <c r="O69" s="370"/>
      <c r="P69" s="370"/>
      <c r="Q69" s="370"/>
      <c r="R69" s="370"/>
      <c r="S69" s="370"/>
      <c r="T69" s="370"/>
      <c r="U69" s="370"/>
      <c r="V69" s="370"/>
      <c r="W69" s="370"/>
      <c r="X69" s="370"/>
      <c r="Y69" s="370"/>
      <c r="Z69" s="370"/>
      <c r="AA69" s="370"/>
      <c r="AB69" s="370"/>
      <c r="AC69" s="370"/>
      <c r="AD69" s="370"/>
      <c r="AE69" s="370"/>
      <c r="AF69" s="370"/>
      <c r="AG69" s="370"/>
      <c r="AH69" s="370"/>
      <c r="AI69" s="370"/>
      <c r="AJ69" s="370"/>
      <c r="AK69" s="370"/>
      <c r="AL69" s="370"/>
      <c r="AM69" s="370"/>
      <c r="AN69" s="370"/>
      <c r="AO69" s="370"/>
      <c r="AP69" s="370"/>
      <c r="AQ69" s="370"/>
      <c r="AR69" s="370"/>
      <c r="AS69" s="370"/>
      <c r="AT69" s="371"/>
      <c r="AU69" s="115"/>
    </row>
    <row r="70" spans="1:47" ht="15" customHeight="1" thickTop="1" x14ac:dyDescent="0.2">
      <c r="A70" s="116"/>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8"/>
    </row>
    <row r="71" spans="1:47" ht="15" customHeight="1" x14ac:dyDescent="0.2">
      <c r="A71" s="106"/>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6"/>
    </row>
    <row r="72" spans="1:47" ht="15" customHeight="1" x14ac:dyDescent="0.2">
      <c r="A72" s="106"/>
      <c r="B72" s="106"/>
      <c r="C72" s="106"/>
      <c r="D72" s="106"/>
      <c r="E72" s="106"/>
      <c r="F72" s="106"/>
      <c r="G72" s="106"/>
      <c r="H72" s="106"/>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6"/>
      <c r="AO72" s="106"/>
      <c r="AP72" s="106"/>
      <c r="AQ72" s="106"/>
      <c r="AR72" s="106"/>
      <c r="AS72" s="106"/>
      <c r="AT72" s="106"/>
      <c r="AU72" s="106"/>
    </row>
    <row r="73" spans="1:47" ht="15" customHeight="1" x14ac:dyDescent="0.2">
      <c r="A73" s="74"/>
      <c r="B73" s="74"/>
      <c r="C73" s="74"/>
      <c r="D73" s="74"/>
      <c r="E73" s="74"/>
      <c r="F73" s="74"/>
      <c r="G73" s="74"/>
      <c r="H73" s="74"/>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4"/>
      <c r="AO73" s="74"/>
      <c r="AP73" s="74"/>
      <c r="AQ73" s="74"/>
      <c r="AR73" s="74"/>
      <c r="AS73" s="74"/>
      <c r="AT73" s="74"/>
      <c r="AU73" s="74"/>
    </row>
    <row r="74" spans="1:47" ht="15" customHeight="1" x14ac:dyDescent="0.2">
      <c r="A74" s="74"/>
      <c r="B74" s="74"/>
      <c r="C74" s="74"/>
      <c r="D74" s="74"/>
      <c r="E74" s="74"/>
      <c r="F74" s="74"/>
      <c r="G74" s="74"/>
      <c r="H74" s="74"/>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4"/>
      <c r="AO74" s="74"/>
      <c r="AP74" s="74"/>
      <c r="AQ74" s="74"/>
      <c r="AR74" s="74"/>
      <c r="AS74" s="74"/>
      <c r="AT74" s="74"/>
      <c r="AU74" s="74"/>
    </row>
    <row r="75" spans="1:47" ht="15" customHeight="1" x14ac:dyDescent="0.2">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row>
    <row r="76" spans="1:47" ht="15" customHeight="1" x14ac:dyDescent="0.2">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row>
    <row r="77" spans="1:47" ht="15" customHeight="1" x14ac:dyDescent="0.2">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row>
    <row r="78" spans="1:47" ht="15" customHeight="1" x14ac:dyDescent="0.2">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row>
    <row r="79" spans="1:47" ht="15" customHeight="1" x14ac:dyDescent="0.2">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row>
    <row r="80" spans="1:47" ht="15" customHeight="1" x14ac:dyDescent="0.2">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row>
    <row r="81" spans="1:47" ht="15" customHeight="1" x14ac:dyDescent="0.2">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row>
    <row r="82" spans="1:47" ht="15" customHeight="1" x14ac:dyDescent="0.2">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row>
    <row r="83" spans="1:47" ht="15" customHeight="1" x14ac:dyDescent="0.2">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row>
    <row r="84" spans="1:47" ht="15" customHeight="1" x14ac:dyDescent="0.2">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row>
    <row r="85" spans="1:47" ht="15" customHeight="1" x14ac:dyDescent="0.2">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row>
    <row r="86" spans="1:47" ht="15" customHeight="1" x14ac:dyDescent="0.2">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row>
    <row r="87" spans="1:47" ht="15" customHeight="1" x14ac:dyDescent="0.2">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row>
    <row r="88" spans="1:47" ht="15" customHeight="1" x14ac:dyDescent="0.2">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row>
    <row r="89" spans="1:47" ht="15" customHeight="1" x14ac:dyDescent="0.2">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row>
    <row r="90" spans="1:47" ht="15" customHeight="1" x14ac:dyDescent="0.2">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row>
    <row r="91" spans="1:47" ht="15" customHeight="1" x14ac:dyDescent="0.2">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row>
    <row r="92" spans="1:47" ht="15" customHeight="1" x14ac:dyDescent="0.2">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row>
    <row r="93" spans="1:47" ht="15" customHeight="1" x14ac:dyDescent="0.2">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row>
    <row r="94" spans="1:47" ht="15" customHeight="1" x14ac:dyDescent="0.2">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row>
    <row r="95" spans="1:47" ht="15" customHeight="1" x14ac:dyDescent="0.2">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row>
    <row r="96" spans="1:47" ht="15" customHeight="1" x14ac:dyDescent="0.2">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row>
    <row r="97" spans="1:47" ht="15" customHeight="1" x14ac:dyDescent="0.2">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row>
    <row r="98" spans="1:47" ht="15" customHeight="1" x14ac:dyDescent="0.2">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row>
    <row r="99" spans="1:47" ht="15" customHeight="1" x14ac:dyDescent="0.2">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row>
    <row r="100" spans="1:47" ht="15" customHeight="1" x14ac:dyDescent="0.2">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row>
    <row r="101" spans="1:47" ht="15" customHeight="1" x14ac:dyDescent="0.2">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row>
    <row r="102" spans="1:47" ht="15" customHeight="1" x14ac:dyDescent="0.2">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row>
    <row r="103" spans="1:47" ht="15" customHeight="1" x14ac:dyDescent="0.2">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row>
    <row r="104" spans="1:47" ht="15" customHeight="1" x14ac:dyDescent="0.2">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row>
    <row r="105" spans="1:47" ht="15" customHeight="1" x14ac:dyDescent="0.2">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row>
    <row r="106" spans="1:47" ht="15" customHeight="1" x14ac:dyDescent="0.2">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row>
    <row r="107" spans="1:47" ht="15" customHeight="1" x14ac:dyDescent="0.2">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row>
    <row r="108" spans="1:47" ht="15" customHeight="1" x14ac:dyDescent="0.2">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row>
    <row r="109" spans="1:47" ht="15" customHeight="1" x14ac:dyDescent="0.2">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row>
    <row r="110" spans="1:47" ht="15" customHeight="1" x14ac:dyDescent="0.2">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row>
    <row r="111" spans="1:47" ht="15" customHeight="1" x14ac:dyDescent="0.2">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row>
    <row r="112" spans="1:47" ht="15" customHeight="1" x14ac:dyDescent="0.2">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row>
    <row r="113" spans="1:47" ht="15" customHeight="1" x14ac:dyDescent="0.2">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row>
    <row r="114" spans="1:47" ht="15" customHeight="1" x14ac:dyDescent="0.2">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row>
    <row r="115" spans="1:47" ht="15" customHeight="1" x14ac:dyDescent="0.2">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row>
    <row r="116" spans="1:47" ht="15" customHeight="1" x14ac:dyDescent="0.2">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row>
    <row r="117" spans="1:47" ht="15" customHeight="1" x14ac:dyDescent="0.2">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row>
    <row r="118" spans="1:47" ht="15" customHeight="1" x14ac:dyDescent="0.2">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row>
    <row r="119" spans="1:47" ht="15" customHeight="1" x14ac:dyDescent="0.2">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row>
    <row r="120" spans="1:47" ht="15" customHeight="1" x14ac:dyDescent="0.2">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row>
    <row r="121" spans="1:47" ht="15" customHeight="1" x14ac:dyDescent="0.2">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row>
    <row r="122" spans="1:47" ht="15" customHeight="1" x14ac:dyDescent="0.2">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row>
    <row r="123" spans="1:47" ht="15" customHeight="1" x14ac:dyDescent="0.2">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row>
    <row r="124" spans="1:47" ht="15" customHeight="1" x14ac:dyDescent="0.2">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row>
    <row r="125" spans="1:47" ht="15" customHeight="1" x14ac:dyDescent="0.2">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row>
    <row r="126" spans="1:47" ht="15" customHeight="1" x14ac:dyDescent="0.2">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row>
    <row r="127" spans="1:47" ht="15" customHeight="1" x14ac:dyDescent="0.2">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row>
    <row r="128" spans="1:47" ht="15" customHeight="1" x14ac:dyDescent="0.2">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row>
    <row r="129" spans="1:47" ht="15" customHeight="1" x14ac:dyDescent="0.2">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row>
    <row r="130" spans="1:47" ht="15" customHeight="1" x14ac:dyDescent="0.2">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row>
    <row r="131" spans="1:47" ht="15" customHeight="1" x14ac:dyDescent="0.2">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row>
    <row r="132" spans="1:47" ht="15" customHeight="1" x14ac:dyDescent="0.2">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row>
    <row r="133" spans="1:47" ht="15" customHeight="1" x14ac:dyDescent="0.2">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row>
    <row r="134" spans="1:47" ht="15" customHeight="1" x14ac:dyDescent="0.2">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row>
    <row r="135" spans="1:47" ht="15" customHeight="1" x14ac:dyDescent="0.2">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row>
    <row r="136" spans="1:47" ht="15" customHeight="1" x14ac:dyDescent="0.2">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row>
    <row r="137" spans="1:47" ht="15" customHeight="1" x14ac:dyDescent="0.2">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row>
    <row r="138" spans="1:47" ht="15" customHeight="1" x14ac:dyDescent="0.2">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row>
    <row r="139" spans="1:47" ht="15" customHeight="1" x14ac:dyDescent="0.2">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row>
    <row r="140" spans="1:47" ht="15" customHeight="1" x14ac:dyDescent="0.2">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row>
    <row r="141" spans="1:47" ht="15" customHeight="1" x14ac:dyDescent="0.2">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row>
    <row r="142" spans="1:47" ht="15" customHeight="1" x14ac:dyDescent="0.2">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row>
    <row r="143" spans="1:47" ht="15" customHeight="1" x14ac:dyDescent="0.2">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row>
    <row r="144" spans="1:47" ht="15" customHeight="1" x14ac:dyDescent="0.2">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row>
    <row r="145" spans="1:47" ht="15" customHeight="1" x14ac:dyDescent="0.2">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row>
    <row r="146" spans="1:47" ht="15" customHeight="1" x14ac:dyDescent="0.2">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row>
    <row r="147" spans="1:47" ht="15" customHeight="1" x14ac:dyDescent="0.2">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row>
    <row r="148" spans="1:47" ht="15" customHeight="1" x14ac:dyDescent="0.2">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row>
    <row r="149" spans="1:47" ht="15" customHeight="1" x14ac:dyDescent="0.2">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row>
    <row r="150" spans="1:47" ht="15" customHeight="1" x14ac:dyDescent="0.2">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row>
    <row r="151" spans="1:47" ht="15" customHeight="1" x14ac:dyDescent="0.2">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row>
    <row r="152" spans="1:47" ht="15" customHeight="1" x14ac:dyDescent="0.2">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row>
    <row r="153" spans="1:47" ht="15" customHeight="1" x14ac:dyDescent="0.2">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row>
    <row r="154" spans="1:47" ht="15" customHeight="1" x14ac:dyDescent="0.2">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row>
    <row r="155" spans="1:47" ht="15" customHeight="1" x14ac:dyDescent="0.2">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row>
    <row r="156" spans="1:47" ht="15" customHeight="1" x14ac:dyDescent="0.2">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row>
    <row r="157" spans="1:47" ht="15" customHeight="1" x14ac:dyDescent="0.2">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row>
    <row r="158" spans="1:47" ht="15" customHeight="1" x14ac:dyDescent="0.2">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row>
    <row r="159" spans="1:47" ht="15" customHeight="1" x14ac:dyDescent="0.2">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row>
    <row r="160" spans="1:47" ht="15" customHeight="1" x14ac:dyDescent="0.2">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row>
    <row r="161" spans="1:47" ht="15" customHeight="1" x14ac:dyDescent="0.2">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row>
    <row r="162" spans="1:47" ht="15" customHeight="1" x14ac:dyDescent="0.2">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row>
    <row r="163" spans="1:47" ht="15" customHeight="1" x14ac:dyDescent="0.2">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row>
    <row r="164" spans="1:47" ht="15" customHeight="1" x14ac:dyDescent="0.2">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row>
    <row r="165" spans="1:47" ht="15" customHeight="1" x14ac:dyDescent="0.2">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row>
    <row r="166" spans="1:47" ht="15" customHeight="1" x14ac:dyDescent="0.2">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row>
    <row r="167" spans="1:47" ht="15" customHeight="1" x14ac:dyDescent="0.2">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row>
    <row r="168" spans="1:47" ht="15" customHeight="1" x14ac:dyDescent="0.2">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row>
    <row r="169" spans="1:47" ht="15" customHeight="1" x14ac:dyDescent="0.2">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row>
    <row r="170" spans="1:47" ht="15" customHeight="1" x14ac:dyDescent="0.2">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row>
    <row r="171" spans="1:47" ht="15" customHeight="1" x14ac:dyDescent="0.2">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row>
    <row r="172" spans="1:47" ht="15" customHeight="1" x14ac:dyDescent="0.2">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row>
    <row r="173" spans="1:47" ht="15" customHeight="1" x14ac:dyDescent="0.2">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row>
    <row r="174" spans="1:47" ht="15" customHeight="1" x14ac:dyDescent="0.2">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row>
    <row r="175" spans="1:47" ht="15" customHeight="1" x14ac:dyDescent="0.2">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row>
    <row r="176" spans="1:47" ht="15" customHeight="1" x14ac:dyDescent="0.2">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row>
    <row r="177" spans="1:47" x14ac:dyDescent="0.2">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row>
    <row r="178" spans="1:47" x14ac:dyDescent="0.2">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row>
    <row r="179" spans="1:47" x14ac:dyDescent="0.2">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row>
    <row r="180" spans="1:47" x14ac:dyDescent="0.2">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row>
    <row r="181" spans="1:47" x14ac:dyDescent="0.2">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row>
    <row r="182" spans="1:47" x14ac:dyDescent="0.2">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row>
    <row r="183" spans="1:47" x14ac:dyDescent="0.2">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row>
    <row r="184" spans="1:47" x14ac:dyDescent="0.2">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row>
    <row r="185" spans="1:47" x14ac:dyDescent="0.2">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row>
    <row r="186" spans="1:47" x14ac:dyDescent="0.2">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row>
    <row r="187" spans="1:47" x14ac:dyDescent="0.2">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row>
    <row r="188" spans="1:47" x14ac:dyDescent="0.2">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row>
    <row r="189" spans="1:47" x14ac:dyDescent="0.2">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row>
    <row r="190" spans="1:47" x14ac:dyDescent="0.2">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row>
    <row r="191" spans="1:47" x14ac:dyDescent="0.2">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row>
    <row r="192" spans="1:47" x14ac:dyDescent="0.2">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row>
    <row r="193" spans="1:47" x14ac:dyDescent="0.2">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row>
    <row r="194" spans="1:47" x14ac:dyDescent="0.2">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row>
    <row r="195" spans="1:47" x14ac:dyDescent="0.2">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row>
    <row r="196" spans="1:47" x14ac:dyDescent="0.2">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row>
    <row r="197" spans="1:47" x14ac:dyDescent="0.2">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row>
    <row r="198" spans="1:47" x14ac:dyDescent="0.2">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row>
    <row r="199" spans="1:47" x14ac:dyDescent="0.2">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row>
    <row r="200" spans="1:47" x14ac:dyDescent="0.2">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row>
    <row r="201" spans="1:47" x14ac:dyDescent="0.2">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row>
    <row r="202" spans="1:47" x14ac:dyDescent="0.2">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row>
    <row r="203" spans="1:47" x14ac:dyDescent="0.2">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row>
    <row r="204" spans="1:47" x14ac:dyDescent="0.2">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row>
    <row r="205" spans="1:47" x14ac:dyDescent="0.2">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row>
    <row r="206" spans="1:47" x14ac:dyDescent="0.2">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row>
    <row r="207" spans="1:47" x14ac:dyDescent="0.2">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row>
    <row r="208" spans="1:47" x14ac:dyDescent="0.2">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row>
    <row r="209" spans="1:47" x14ac:dyDescent="0.2">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row>
    <row r="210" spans="1:47" x14ac:dyDescent="0.2">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row>
    <row r="211" spans="1:47" x14ac:dyDescent="0.2">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row>
    <row r="212" spans="1:47" x14ac:dyDescent="0.2">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row>
    <row r="213" spans="1:47" x14ac:dyDescent="0.2">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row>
    <row r="214" spans="1:47" x14ac:dyDescent="0.2">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row>
    <row r="215" spans="1:47" x14ac:dyDescent="0.2">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row>
    <row r="216" spans="1:47" x14ac:dyDescent="0.2">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row>
    <row r="217" spans="1:47" x14ac:dyDescent="0.2">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row>
    <row r="218" spans="1:47" x14ac:dyDescent="0.2">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row>
    <row r="219" spans="1:47" x14ac:dyDescent="0.2">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row>
    <row r="220" spans="1:47" x14ac:dyDescent="0.2">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row>
    <row r="221" spans="1:47" x14ac:dyDescent="0.2">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row>
    <row r="222" spans="1:47" x14ac:dyDescent="0.2">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row>
    <row r="223" spans="1:47" x14ac:dyDescent="0.2">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row>
    <row r="224" spans="1:47" x14ac:dyDescent="0.2">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row>
    <row r="225" spans="1:47" x14ac:dyDescent="0.2">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row>
    <row r="226" spans="1:47" x14ac:dyDescent="0.2">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row>
    <row r="227" spans="1:47" x14ac:dyDescent="0.2">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row>
    <row r="228" spans="1:47" x14ac:dyDescent="0.2">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row>
    <row r="229" spans="1:47" x14ac:dyDescent="0.2">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row>
    <row r="230" spans="1:47" x14ac:dyDescent="0.2">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row>
    <row r="231" spans="1:47" x14ac:dyDescent="0.2">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row>
    <row r="232" spans="1:47" x14ac:dyDescent="0.2">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row>
    <row r="233" spans="1:47" x14ac:dyDescent="0.2">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row>
    <row r="234" spans="1:47" x14ac:dyDescent="0.2">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row>
    <row r="235" spans="1:47" x14ac:dyDescent="0.2">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row>
    <row r="236" spans="1:47" x14ac:dyDescent="0.2">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row>
    <row r="237" spans="1:47" x14ac:dyDescent="0.2">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row>
    <row r="238" spans="1:47" x14ac:dyDescent="0.2">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row>
    <row r="239" spans="1:47" x14ac:dyDescent="0.2">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row>
    <row r="240" spans="1:47" x14ac:dyDescent="0.2">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row>
    <row r="241" spans="1:47" x14ac:dyDescent="0.2">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row>
    <row r="242" spans="1:47" x14ac:dyDescent="0.2">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row>
    <row r="243" spans="1:47" x14ac:dyDescent="0.2">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row>
    <row r="244" spans="1:47" x14ac:dyDescent="0.2">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row>
    <row r="245" spans="1:47" x14ac:dyDescent="0.2">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row>
    <row r="246" spans="1:47" x14ac:dyDescent="0.2">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row>
    <row r="247" spans="1:47" x14ac:dyDescent="0.2">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row>
    <row r="248" spans="1:47" x14ac:dyDescent="0.2">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row>
    <row r="249" spans="1:47" x14ac:dyDescent="0.2">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row>
    <row r="250" spans="1:47" x14ac:dyDescent="0.2">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row>
    <row r="251" spans="1:47" x14ac:dyDescent="0.2">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c r="AL251" s="75"/>
      <c r="AM251" s="75"/>
      <c r="AN251" s="75"/>
      <c r="AO251" s="75"/>
      <c r="AP251" s="75"/>
      <c r="AQ251" s="75"/>
      <c r="AR251" s="75"/>
      <c r="AS251" s="75"/>
      <c r="AT251" s="75"/>
      <c r="AU251" s="75"/>
    </row>
    <row r="252" spans="1:47" x14ac:dyDescent="0.2">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c r="AL252" s="75"/>
      <c r="AM252" s="75"/>
      <c r="AN252" s="75"/>
      <c r="AO252" s="75"/>
      <c r="AP252" s="75"/>
      <c r="AQ252" s="75"/>
      <c r="AR252" s="75"/>
      <c r="AS252" s="75"/>
      <c r="AT252" s="75"/>
      <c r="AU252" s="75"/>
    </row>
    <row r="253" spans="1:47" x14ac:dyDescent="0.2">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H253" s="75"/>
      <c r="AI253" s="75"/>
      <c r="AJ253" s="75"/>
      <c r="AK253" s="75"/>
      <c r="AL253" s="75"/>
      <c r="AM253" s="75"/>
      <c r="AN253" s="75"/>
      <c r="AO253" s="75"/>
      <c r="AP253" s="75"/>
      <c r="AQ253" s="75"/>
      <c r="AR253" s="75"/>
      <c r="AS253" s="75"/>
      <c r="AT253" s="75"/>
      <c r="AU253" s="75"/>
    </row>
    <row r="254" spans="1:47" x14ac:dyDescent="0.2">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5"/>
      <c r="AH254" s="75"/>
      <c r="AI254" s="75"/>
      <c r="AJ254" s="75"/>
      <c r="AK254" s="75"/>
      <c r="AL254" s="75"/>
      <c r="AM254" s="75"/>
      <c r="AN254" s="75"/>
      <c r="AO254" s="75"/>
      <c r="AP254" s="75"/>
      <c r="AQ254" s="75"/>
      <c r="AR254" s="75"/>
      <c r="AS254" s="75"/>
      <c r="AT254" s="75"/>
      <c r="AU254" s="75"/>
    </row>
    <row r="255" spans="1:47" x14ac:dyDescent="0.2">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H255" s="75"/>
      <c r="AI255" s="75"/>
      <c r="AJ255" s="75"/>
      <c r="AK255" s="75"/>
      <c r="AL255" s="75"/>
      <c r="AM255" s="75"/>
      <c r="AN255" s="75"/>
      <c r="AO255" s="75"/>
      <c r="AP255" s="75"/>
      <c r="AQ255" s="75"/>
      <c r="AR255" s="75"/>
      <c r="AS255" s="75"/>
      <c r="AT255" s="75"/>
      <c r="AU255" s="75"/>
    </row>
    <row r="256" spans="1:47" x14ac:dyDescent="0.2">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5"/>
      <c r="AH256" s="75"/>
      <c r="AI256" s="75"/>
      <c r="AJ256" s="75"/>
      <c r="AK256" s="75"/>
      <c r="AL256" s="75"/>
      <c r="AM256" s="75"/>
      <c r="AN256" s="75"/>
      <c r="AO256" s="75"/>
      <c r="AP256" s="75"/>
      <c r="AQ256" s="75"/>
      <c r="AR256" s="75"/>
      <c r="AS256" s="75"/>
      <c r="AT256" s="75"/>
      <c r="AU256" s="75"/>
    </row>
    <row r="257" spans="1:47" x14ac:dyDescent="0.2">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row>
    <row r="258" spans="1:47" x14ac:dyDescent="0.2">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row>
    <row r="259" spans="1:47" x14ac:dyDescent="0.2">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row>
    <row r="260" spans="1:47" x14ac:dyDescent="0.2">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row>
    <row r="261" spans="1:47" x14ac:dyDescent="0.2">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c r="AA261" s="75"/>
      <c r="AB261" s="75"/>
      <c r="AC261" s="75"/>
      <c r="AD261" s="75"/>
      <c r="AE261" s="75"/>
      <c r="AF261" s="75"/>
      <c r="AG261" s="75"/>
      <c r="AH261" s="75"/>
      <c r="AI261" s="75"/>
      <c r="AJ261" s="75"/>
      <c r="AK261" s="75"/>
      <c r="AL261" s="75"/>
      <c r="AM261" s="75"/>
      <c r="AN261" s="75"/>
      <c r="AO261" s="75"/>
      <c r="AP261" s="75"/>
      <c r="AQ261" s="75"/>
      <c r="AR261" s="75"/>
      <c r="AS261" s="75"/>
      <c r="AT261" s="75"/>
      <c r="AU261" s="75"/>
    </row>
    <row r="262" spans="1:47" x14ac:dyDescent="0.2">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row>
    <row r="263" spans="1:47" x14ac:dyDescent="0.2">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c r="AA263" s="75"/>
      <c r="AB263" s="75"/>
      <c r="AC263" s="75"/>
      <c r="AD263" s="75"/>
      <c r="AE263" s="75"/>
      <c r="AF263" s="75"/>
      <c r="AG263" s="75"/>
      <c r="AH263" s="75"/>
      <c r="AI263" s="75"/>
      <c r="AJ263" s="75"/>
      <c r="AK263" s="75"/>
      <c r="AL263" s="75"/>
      <c r="AM263" s="75"/>
      <c r="AN263" s="75"/>
      <c r="AO263" s="75"/>
      <c r="AP263" s="75"/>
      <c r="AQ263" s="75"/>
      <c r="AR263" s="75"/>
      <c r="AS263" s="75"/>
      <c r="AT263" s="75"/>
      <c r="AU263" s="75"/>
    </row>
    <row r="264" spans="1:47" x14ac:dyDescent="0.2">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5"/>
      <c r="AQ264" s="75"/>
      <c r="AR264" s="75"/>
      <c r="AS264" s="75"/>
      <c r="AT264" s="75"/>
      <c r="AU264" s="75"/>
    </row>
    <row r="265" spans="1:47" x14ac:dyDescent="0.2">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5"/>
      <c r="AL265" s="75"/>
      <c r="AM265" s="75"/>
      <c r="AN265" s="75"/>
      <c r="AO265" s="75"/>
      <c r="AP265" s="75"/>
      <c r="AQ265" s="75"/>
      <c r="AR265" s="75"/>
      <c r="AS265" s="75"/>
      <c r="AT265" s="75"/>
      <c r="AU265" s="75"/>
    </row>
    <row r="266" spans="1:47" x14ac:dyDescent="0.2">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c r="AA266" s="75"/>
      <c r="AB266" s="75"/>
      <c r="AC266" s="75"/>
      <c r="AD266" s="75"/>
      <c r="AE266" s="75"/>
      <c r="AF266" s="75"/>
      <c r="AG266" s="75"/>
      <c r="AH266" s="75"/>
      <c r="AI266" s="75"/>
      <c r="AJ266" s="75"/>
      <c r="AK266" s="75"/>
      <c r="AL266" s="75"/>
      <c r="AM266" s="75"/>
      <c r="AN266" s="75"/>
      <c r="AO266" s="75"/>
      <c r="AP266" s="75"/>
      <c r="AQ266" s="75"/>
      <c r="AR266" s="75"/>
      <c r="AS266" s="75"/>
      <c r="AT266" s="75"/>
      <c r="AU266" s="75"/>
    </row>
    <row r="267" spans="1:47" x14ac:dyDescent="0.2">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5"/>
      <c r="AL267" s="75"/>
      <c r="AM267" s="75"/>
      <c r="AN267" s="75"/>
      <c r="AO267" s="75"/>
      <c r="AP267" s="75"/>
      <c r="AQ267" s="75"/>
      <c r="AR267" s="75"/>
      <c r="AS267" s="75"/>
      <c r="AT267" s="75"/>
      <c r="AU267" s="75"/>
    </row>
    <row r="268" spans="1:47" x14ac:dyDescent="0.2">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c r="AA268" s="75"/>
      <c r="AB268" s="75"/>
      <c r="AC268" s="75"/>
      <c r="AD268" s="75"/>
      <c r="AE268" s="75"/>
      <c r="AF268" s="75"/>
      <c r="AG268" s="75"/>
      <c r="AH268" s="75"/>
      <c r="AI268" s="75"/>
      <c r="AJ268" s="75"/>
      <c r="AK268" s="75"/>
      <c r="AL268" s="75"/>
      <c r="AM268" s="75"/>
      <c r="AN268" s="75"/>
      <c r="AO268" s="75"/>
      <c r="AP268" s="75"/>
      <c r="AQ268" s="75"/>
      <c r="AR268" s="75"/>
      <c r="AS268" s="75"/>
      <c r="AT268" s="75"/>
      <c r="AU268" s="75"/>
    </row>
    <row r="269" spans="1:47" x14ac:dyDescent="0.2">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5"/>
      <c r="AL269" s="75"/>
      <c r="AM269" s="75"/>
      <c r="AN269" s="75"/>
      <c r="AO269" s="75"/>
      <c r="AP269" s="75"/>
      <c r="AQ269" s="75"/>
      <c r="AR269" s="75"/>
      <c r="AS269" s="75"/>
      <c r="AT269" s="75"/>
      <c r="AU269" s="75"/>
    </row>
    <row r="270" spans="1:47" x14ac:dyDescent="0.2">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5"/>
      <c r="AO270" s="75"/>
      <c r="AP270" s="75"/>
      <c r="AQ270" s="75"/>
      <c r="AR270" s="75"/>
      <c r="AS270" s="75"/>
      <c r="AT270" s="75"/>
      <c r="AU270" s="75"/>
    </row>
    <row r="271" spans="1:47" x14ac:dyDescent="0.2">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c r="AA271" s="75"/>
      <c r="AB271" s="75"/>
      <c r="AC271" s="75"/>
      <c r="AD271" s="75"/>
      <c r="AE271" s="75"/>
      <c r="AF271" s="75"/>
      <c r="AG271" s="75"/>
      <c r="AH271" s="75"/>
      <c r="AI271" s="75"/>
      <c r="AJ271" s="75"/>
      <c r="AK271" s="75"/>
      <c r="AL271" s="75"/>
      <c r="AM271" s="75"/>
      <c r="AN271" s="75"/>
      <c r="AO271" s="75"/>
      <c r="AP271" s="75"/>
      <c r="AQ271" s="75"/>
      <c r="AR271" s="75"/>
      <c r="AS271" s="75"/>
      <c r="AT271" s="75"/>
      <c r="AU271" s="75"/>
    </row>
    <row r="272" spans="1:47" x14ac:dyDescent="0.2">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5"/>
      <c r="AH272" s="75"/>
      <c r="AI272" s="75"/>
      <c r="AJ272" s="75"/>
      <c r="AK272" s="75"/>
      <c r="AL272" s="75"/>
      <c r="AM272" s="75"/>
      <c r="AN272" s="75"/>
      <c r="AO272" s="75"/>
      <c r="AP272" s="75"/>
      <c r="AQ272" s="75"/>
      <c r="AR272" s="75"/>
      <c r="AS272" s="75"/>
      <c r="AT272" s="75"/>
      <c r="AU272" s="75"/>
    </row>
    <row r="273" spans="1:47" x14ac:dyDescent="0.2">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75"/>
      <c r="AJ273" s="75"/>
      <c r="AK273" s="75"/>
      <c r="AL273" s="75"/>
      <c r="AM273" s="75"/>
      <c r="AN273" s="75"/>
      <c r="AO273" s="75"/>
      <c r="AP273" s="75"/>
      <c r="AQ273" s="75"/>
      <c r="AR273" s="75"/>
      <c r="AS273" s="75"/>
      <c r="AT273" s="75"/>
      <c r="AU273" s="75"/>
    </row>
    <row r="274" spans="1:47" x14ac:dyDescent="0.2">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c r="AA274" s="75"/>
      <c r="AB274" s="75"/>
      <c r="AC274" s="75"/>
      <c r="AD274" s="75"/>
      <c r="AE274" s="75"/>
      <c r="AF274" s="75"/>
      <c r="AG274" s="75"/>
      <c r="AH274" s="75"/>
      <c r="AI274" s="75"/>
      <c r="AJ274" s="75"/>
      <c r="AK274" s="75"/>
      <c r="AL274" s="75"/>
      <c r="AM274" s="75"/>
      <c r="AN274" s="75"/>
      <c r="AO274" s="75"/>
      <c r="AP274" s="75"/>
      <c r="AQ274" s="75"/>
      <c r="AR274" s="75"/>
      <c r="AS274" s="75"/>
      <c r="AT274" s="75"/>
      <c r="AU274" s="75"/>
    </row>
    <row r="275" spans="1:47" x14ac:dyDescent="0.2">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5"/>
      <c r="AO275" s="75"/>
      <c r="AP275" s="75"/>
      <c r="AQ275" s="75"/>
      <c r="AR275" s="75"/>
      <c r="AS275" s="75"/>
      <c r="AT275" s="75"/>
      <c r="AU275" s="75"/>
    </row>
    <row r="276" spans="1:47" x14ac:dyDescent="0.2">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row>
    <row r="277" spans="1:47" x14ac:dyDescent="0.2">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5"/>
      <c r="AO277" s="75"/>
      <c r="AP277" s="75"/>
      <c r="AQ277" s="75"/>
      <c r="AR277" s="75"/>
      <c r="AS277" s="75"/>
      <c r="AT277" s="75"/>
      <c r="AU277" s="75"/>
    </row>
    <row r="278" spans="1:47" x14ac:dyDescent="0.2">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5"/>
      <c r="AO278" s="75"/>
      <c r="AP278" s="75"/>
      <c r="AQ278" s="75"/>
      <c r="AR278" s="75"/>
      <c r="AS278" s="75"/>
      <c r="AT278" s="75"/>
      <c r="AU278" s="75"/>
    </row>
    <row r="279" spans="1:47" x14ac:dyDescent="0.2">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row>
    <row r="280" spans="1:47" x14ac:dyDescent="0.2">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row>
    <row r="281" spans="1:47" x14ac:dyDescent="0.2">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5"/>
      <c r="AO281" s="75"/>
      <c r="AP281" s="75"/>
      <c r="AQ281" s="75"/>
      <c r="AR281" s="75"/>
      <c r="AS281" s="75"/>
      <c r="AT281" s="75"/>
      <c r="AU281" s="75"/>
    </row>
    <row r="282" spans="1:47" x14ac:dyDescent="0.2">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row>
    <row r="283" spans="1:47" x14ac:dyDescent="0.2">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row>
    <row r="284" spans="1:47" x14ac:dyDescent="0.2">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row>
    <row r="285" spans="1:47" x14ac:dyDescent="0.2">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c r="AA285" s="75"/>
      <c r="AB285" s="75"/>
      <c r="AC285" s="75"/>
      <c r="AD285" s="75"/>
      <c r="AE285" s="75"/>
      <c r="AF285" s="75"/>
      <c r="AG285" s="75"/>
      <c r="AH285" s="75"/>
      <c r="AI285" s="75"/>
      <c r="AJ285" s="75"/>
      <c r="AK285" s="75"/>
      <c r="AL285" s="75"/>
      <c r="AM285" s="75"/>
      <c r="AN285" s="75"/>
      <c r="AO285" s="75"/>
      <c r="AP285" s="75"/>
      <c r="AQ285" s="75"/>
      <c r="AR285" s="75"/>
      <c r="AS285" s="75"/>
      <c r="AT285" s="75"/>
      <c r="AU285" s="75"/>
    </row>
    <row r="286" spans="1:47" x14ac:dyDescent="0.2">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row>
    <row r="287" spans="1:47" x14ac:dyDescent="0.2">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5"/>
      <c r="AO287" s="75"/>
      <c r="AP287" s="75"/>
      <c r="AQ287" s="75"/>
      <c r="AR287" s="75"/>
      <c r="AS287" s="75"/>
      <c r="AT287" s="75"/>
      <c r="AU287" s="75"/>
    </row>
    <row r="288" spans="1:47" x14ac:dyDescent="0.2">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row>
    <row r="289" spans="1:47" x14ac:dyDescent="0.2">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row>
    <row r="290" spans="1:47" x14ac:dyDescent="0.2">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row>
    <row r="291" spans="1:47" x14ac:dyDescent="0.2">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row>
    <row r="292" spans="1:47" x14ac:dyDescent="0.2">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row>
    <row r="293" spans="1:47" x14ac:dyDescent="0.2">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row>
    <row r="294" spans="1:47" x14ac:dyDescent="0.2">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row>
    <row r="295" spans="1:47" x14ac:dyDescent="0.2">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row>
    <row r="296" spans="1:47" x14ac:dyDescent="0.2">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row>
    <row r="297" spans="1:47" x14ac:dyDescent="0.2">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row>
    <row r="298" spans="1:47" x14ac:dyDescent="0.2">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row>
    <row r="299" spans="1:47" x14ac:dyDescent="0.2">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row>
    <row r="300" spans="1:47" x14ac:dyDescent="0.2">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row>
    <row r="301" spans="1:47" x14ac:dyDescent="0.2">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row>
    <row r="302" spans="1:47" x14ac:dyDescent="0.2">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c r="AA302" s="75"/>
      <c r="AB302" s="75"/>
      <c r="AC302" s="75"/>
      <c r="AD302" s="75"/>
      <c r="AE302" s="75"/>
      <c r="AF302" s="75"/>
      <c r="AG302" s="75"/>
      <c r="AH302" s="75"/>
      <c r="AI302" s="75"/>
      <c r="AJ302" s="75"/>
      <c r="AK302" s="75"/>
      <c r="AL302" s="75"/>
      <c r="AM302" s="75"/>
      <c r="AN302" s="75"/>
      <c r="AO302" s="75"/>
      <c r="AP302" s="75"/>
      <c r="AQ302" s="75"/>
      <c r="AR302" s="75"/>
      <c r="AS302" s="75"/>
      <c r="AT302" s="75"/>
      <c r="AU302" s="75"/>
    </row>
    <row r="303" spans="1:47" x14ac:dyDescent="0.2">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row>
    <row r="304" spans="1:47" x14ac:dyDescent="0.2">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c r="AA304" s="75"/>
      <c r="AB304" s="75"/>
      <c r="AC304" s="75"/>
      <c r="AD304" s="75"/>
      <c r="AE304" s="75"/>
      <c r="AF304" s="75"/>
      <c r="AG304" s="75"/>
      <c r="AH304" s="75"/>
      <c r="AI304" s="75"/>
      <c r="AJ304" s="75"/>
      <c r="AK304" s="75"/>
      <c r="AL304" s="75"/>
      <c r="AM304" s="75"/>
      <c r="AN304" s="75"/>
      <c r="AO304" s="75"/>
      <c r="AP304" s="75"/>
      <c r="AQ304" s="75"/>
      <c r="AR304" s="75"/>
      <c r="AS304" s="75"/>
      <c r="AT304" s="75"/>
      <c r="AU304" s="75"/>
    </row>
    <row r="305" spans="1:47" x14ac:dyDescent="0.2">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row>
    <row r="306" spans="1:47" x14ac:dyDescent="0.2">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75"/>
    </row>
    <row r="307" spans="1:47" x14ac:dyDescent="0.2">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row>
    <row r="308" spans="1:47" x14ac:dyDescent="0.2">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5"/>
      <c r="AH308" s="75"/>
      <c r="AI308" s="75"/>
      <c r="AJ308" s="75"/>
      <c r="AK308" s="75"/>
      <c r="AL308" s="75"/>
      <c r="AM308" s="75"/>
      <c r="AN308" s="75"/>
      <c r="AO308" s="75"/>
      <c r="AP308" s="75"/>
      <c r="AQ308" s="75"/>
      <c r="AR308" s="75"/>
      <c r="AS308" s="75"/>
      <c r="AT308" s="75"/>
      <c r="AU308" s="75"/>
    </row>
    <row r="309" spans="1:47" x14ac:dyDescent="0.2">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5"/>
      <c r="AH309" s="75"/>
      <c r="AI309" s="75"/>
      <c r="AJ309" s="75"/>
      <c r="AK309" s="75"/>
      <c r="AL309" s="75"/>
      <c r="AM309" s="75"/>
      <c r="AN309" s="75"/>
      <c r="AO309" s="75"/>
      <c r="AP309" s="75"/>
      <c r="AQ309" s="75"/>
      <c r="AR309" s="75"/>
      <c r="AS309" s="75"/>
      <c r="AT309" s="75"/>
      <c r="AU309" s="75"/>
    </row>
    <row r="310" spans="1:47" x14ac:dyDescent="0.2">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c r="AA310" s="75"/>
      <c r="AB310" s="75"/>
      <c r="AC310" s="75"/>
      <c r="AD310" s="75"/>
      <c r="AE310" s="75"/>
      <c r="AF310" s="75"/>
      <c r="AG310" s="75"/>
      <c r="AH310" s="75"/>
      <c r="AI310" s="75"/>
      <c r="AJ310" s="75"/>
      <c r="AK310" s="75"/>
      <c r="AL310" s="75"/>
      <c r="AM310" s="75"/>
      <c r="AN310" s="75"/>
      <c r="AO310" s="75"/>
      <c r="AP310" s="75"/>
      <c r="AQ310" s="75"/>
      <c r="AR310" s="75"/>
      <c r="AS310" s="75"/>
      <c r="AT310" s="75"/>
      <c r="AU310" s="75"/>
    </row>
    <row r="311" spans="1:47" x14ac:dyDescent="0.2">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75"/>
    </row>
    <row r="312" spans="1:47" x14ac:dyDescent="0.2">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row>
    <row r="313" spans="1:47" x14ac:dyDescent="0.2">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75"/>
      <c r="AL313" s="75"/>
      <c r="AM313" s="75"/>
      <c r="AN313" s="75"/>
      <c r="AO313" s="75"/>
      <c r="AP313" s="75"/>
      <c r="AQ313" s="75"/>
      <c r="AR313" s="75"/>
      <c r="AS313" s="75"/>
      <c r="AT313" s="75"/>
      <c r="AU313" s="75"/>
    </row>
    <row r="314" spans="1:47" x14ac:dyDescent="0.2">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row>
    <row r="315" spans="1:47" x14ac:dyDescent="0.2">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5"/>
      <c r="AL315" s="75"/>
      <c r="AM315" s="75"/>
      <c r="AN315" s="75"/>
      <c r="AO315" s="75"/>
      <c r="AP315" s="75"/>
      <c r="AQ315" s="75"/>
      <c r="AR315" s="75"/>
      <c r="AS315" s="75"/>
      <c r="AT315" s="75"/>
      <c r="AU315" s="75"/>
    </row>
    <row r="316" spans="1:47" x14ac:dyDescent="0.2">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row>
    <row r="317" spans="1:47" x14ac:dyDescent="0.2">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row>
    <row r="318" spans="1:47" x14ac:dyDescent="0.2">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row>
    <row r="319" spans="1:47" x14ac:dyDescent="0.2">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75"/>
    </row>
    <row r="320" spans="1:47" x14ac:dyDescent="0.2">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c r="AA320" s="75"/>
      <c r="AB320" s="75"/>
      <c r="AC320" s="75"/>
      <c r="AD320" s="75"/>
      <c r="AE320" s="75"/>
      <c r="AF320" s="75"/>
      <c r="AG320" s="75"/>
      <c r="AH320" s="75"/>
      <c r="AI320" s="75"/>
      <c r="AJ320" s="75"/>
      <c r="AK320" s="75"/>
      <c r="AL320" s="75"/>
      <c r="AM320" s="75"/>
      <c r="AN320" s="75"/>
      <c r="AO320" s="75"/>
      <c r="AP320" s="75"/>
      <c r="AQ320" s="75"/>
      <c r="AR320" s="75"/>
      <c r="AS320" s="75"/>
      <c r="AT320" s="75"/>
      <c r="AU320" s="75"/>
    </row>
    <row r="321" spans="1:47" x14ac:dyDescent="0.2">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c r="AA321" s="75"/>
      <c r="AB321" s="75"/>
      <c r="AC321" s="75"/>
      <c r="AD321" s="75"/>
      <c r="AE321" s="75"/>
      <c r="AF321" s="75"/>
      <c r="AG321" s="75"/>
      <c r="AH321" s="75"/>
      <c r="AI321" s="75"/>
      <c r="AJ321" s="75"/>
      <c r="AK321" s="75"/>
      <c r="AL321" s="75"/>
      <c r="AM321" s="75"/>
      <c r="AN321" s="75"/>
      <c r="AO321" s="75"/>
      <c r="AP321" s="75"/>
      <c r="AQ321" s="75"/>
      <c r="AR321" s="75"/>
      <c r="AS321" s="75"/>
      <c r="AT321" s="75"/>
      <c r="AU321" s="75"/>
    </row>
    <row r="322" spans="1:47" x14ac:dyDescent="0.2">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c r="AA322" s="75"/>
      <c r="AB322" s="75"/>
      <c r="AC322" s="75"/>
      <c r="AD322" s="75"/>
      <c r="AE322" s="75"/>
      <c r="AF322" s="75"/>
      <c r="AG322" s="75"/>
      <c r="AH322" s="75"/>
      <c r="AI322" s="75"/>
      <c r="AJ322" s="75"/>
      <c r="AK322" s="75"/>
      <c r="AL322" s="75"/>
      <c r="AM322" s="75"/>
      <c r="AN322" s="75"/>
      <c r="AO322" s="75"/>
      <c r="AP322" s="75"/>
      <c r="AQ322" s="75"/>
      <c r="AR322" s="75"/>
      <c r="AS322" s="75"/>
      <c r="AT322" s="75"/>
      <c r="AU322" s="75"/>
    </row>
    <row r="323" spans="1:47" x14ac:dyDescent="0.2">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5"/>
      <c r="AL323" s="75"/>
      <c r="AM323" s="75"/>
      <c r="AN323" s="75"/>
      <c r="AO323" s="75"/>
      <c r="AP323" s="75"/>
      <c r="AQ323" s="75"/>
      <c r="AR323" s="75"/>
      <c r="AS323" s="75"/>
      <c r="AT323" s="75"/>
      <c r="AU323" s="75"/>
    </row>
    <row r="324" spans="1:47" x14ac:dyDescent="0.2">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5"/>
      <c r="AJ324" s="75"/>
      <c r="AK324" s="75"/>
      <c r="AL324" s="75"/>
      <c r="AM324" s="75"/>
      <c r="AN324" s="75"/>
      <c r="AO324" s="75"/>
      <c r="AP324" s="75"/>
      <c r="AQ324" s="75"/>
      <c r="AR324" s="75"/>
      <c r="AS324" s="75"/>
      <c r="AT324" s="75"/>
      <c r="AU324" s="75"/>
    </row>
    <row r="325" spans="1:47" x14ac:dyDescent="0.2">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5"/>
      <c r="AH325" s="75"/>
      <c r="AI325" s="75"/>
      <c r="AJ325" s="75"/>
      <c r="AK325" s="75"/>
      <c r="AL325" s="75"/>
      <c r="AM325" s="75"/>
      <c r="AN325" s="75"/>
      <c r="AO325" s="75"/>
      <c r="AP325" s="75"/>
      <c r="AQ325" s="75"/>
      <c r="AR325" s="75"/>
      <c r="AS325" s="75"/>
      <c r="AT325" s="75"/>
      <c r="AU325" s="75"/>
    </row>
    <row r="326" spans="1:47" x14ac:dyDescent="0.2">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L326" s="75"/>
      <c r="AM326" s="75"/>
      <c r="AN326" s="75"/>
      <c r="AO326" s="75"/>
      <c r="AP326" s="75"/>
      <c r="AQ326" s="75"/>
      <c r="AR326" s="75"/>
      <c r="AS326" s="75"/>
      <c r="AT326" s="75"/>
      <c r="AU326" s="75"/>
    </row>
    <row r="327" spans="1:47" x14ac:dyDescent="0.2">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c r="AA327" s="75"/>
      <c r="AB327" s="75"/>
      <c r="AC327" s="75"/>
      <c r="AD327" s="75"/>
      <c r="AE327" s="75"/>
      <c r="AF327" s="75"/>
      <c r="AG327" s="75"/>
      <c r="AH327" s="75"/>
      <c r="AI327" s="75"/>
      <c r="AJ327" s="75"/>
      <c r="AK327" s="75"/>
      <c r="AL327" s="75"/>
      <c r="AM327" s="75"/>
      <c r="AN327" s="75"/>
      <c r="AO327" s="75"/>
      <c r="AP327" s="75"/>
      <c r="AQ327" s="75"/>
      <c r="AR327" s="75"/>
      <c r="AS327" s="75"/>
      <c r="AT327" s="75"/>
      <c r="AU327" s="75"/>
    </row>
    <row r="328" spans="1:47" x14ac:dyDescent="0.2">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c r="AA328" s="75"/>
      <c r="AB328" s="75"/>
      <c r="AC328" s="75"/>
      <c r="AD328" s="75"/>
      <c r="AE328" s="75"/>
      <c r="AF328" s="75"/>
      <c r="AG328" s="75"/>
      <c r="AH328" s="75"/>
      <c r="AI328" s="75"/>
      <c r="AJ328" s="75"/>
      <c r="AK328" s="75"/>
      <c r="AL328" s="75"/>
      <c r="AM328" s="75"/>
      <c r="AN328" s="75"/>
      <c r="AO328" s="75"/>
      <c r="AP328" s="75"/>
      <c r="AQ328" s="75"/>
      <c r="AR328" s="75"/>
      <c r="AS328" s="75"/>
      <c r="AT328" s="75"/>
      <c r="AU328" s="75"/>
    </row>
    <row r="329" spans="1:47" x14ac:dyDescent="0.2">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c r="AA329" s="75"/>
      <c r="AB329" s="75"/>
      <c r="AC329" s="75"/>
      <c r="AD329" s="75"/>
      <c r="AE329" s="75"/>
      <c r="AF329" s="75"/>
      <c r="AG329" s="75"/>
      <c r="AH329" s="75"/>
      <c r="AI329" s="75"/>
      <c r="AJ329" s="75"/>
      <c r="AK329" s="75"/>
      <c r="AL329" s="75"/>
      <c r="AM329" s="75"/>
      <c r="AN329" s="75"/>
      <c r="AO329" s="75"/>
      <c r="AP329" s="75"/>
      <c r="AQ329" s="75"/>
      <c r="AR329" s="75"/>
      <c r="AS329" s="75"/>
      <c r="AT329" s="75"/>
      <c r="AU329" s="75"/>
    </row>
    <row r="330" spans="1:47" x14ac:dyDescent="0.2">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c r="AA330" s="75"/>
      <c r="AB330" s="75"/>
      <c r="AC330" s="75"/>
      <c r="AD330" s="75"/>
      <c r="AE330" s="75"/>
      <c r="AF330" s="75"/>
      <c r="AG330" s="75"/>
      <c r="AH330" s="75"/>
      <c r="AI330" s="75"/>
      <c r="AJ330" s="75"/>
      <c r="AK330" s="75"/>
      <c r="AL330" s="75"/>
      <c r="AM330" s="75"/>
      <c r="AN330" s="75"/>
      <c r="AO330" s="75"/>
      <c r="AP330" s="75"/>
      <c r="AQ330" s="75"/>
      <c r="AR330" s="75"/>
      <c r="AS330" s="75"/>
      <c r="AT330" s="75"/>
      <c r="AU330" s="75"/>
    </row>
    <row r="331" spans="1:47" x14ac:dyDescent="0.2">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c r="AA331" s="75"/>
      <c r="AB331" s="75"/>
      <c r="AC331" s="75"/>
      <c r="AD331" s="75"/>
      <c r="AE331" s="75"/>
      <c r="AF331" s="75"/>
      <c r="AG331" s="75"/>
      <c r="AH331" s="75"/>
      <c r="AI331" s="75"/>
      <c r="AJ331" s="75"/>
      <c r="AK331" s="75"/>
      <c r="AL331" s="75"/>
      <c r="AM331" s="75"/>
      <c r="AN331" s="75"/>
      <c r="AO331" s="75"/>
      <c r="AP331" s="75"/>
      <c r="AQ331" s="75"/>
      <c r="AR331" s="75"/>
      <c r="AS331" s="75"/>
      <c r="AT331" s="75"/>
      <c r="AU331" s="75"/>
    </row>
    <row r="332" spans="1:47" x14ac:dyDescent="0.2">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c r="AA332" s="75"/>
      <c r="AB332" s="75"/>
      <c r="AC332" s="75"/>
      <c r="AD332" s="75"/>
      <c r="AE332" s="75"/>
      <c r="AF332" s="75"/>
      <c r="AG332" s="75"/>
      <c r="AH332" s="75"/>
      <c r="AI332" s="75"/>
      <c r="AJ332" s="75"/>
      <c r="AK332" s="75"/>
      <c r="AL332" s="75"/>
      <c r="AM332" s="75"/>
      <c r="AN332" s="75"/>
      <c r="AO332" s="75"/>
      <c r="AP332" s="75"/>
      <c r="AQ332" s="75"/>
      <c r="AR332" s="75"/>
      <c r="AS332" s="75"/>
      <c r="AT332" s="75"/>
      <c r="AU332" s="75"/>
    </row>
    <row r="333" spans="1:47" x14ac:dyDescent="0.2">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c r="AA333" s="75"/>
      <c r="AB333" s="75"/>
      <c r="AC333" s="75"/>
      <c r="AD333" s="75"/>
      <c r="AE333" s="75"/>
      <c r="AF333" s="75"/>
      <c r="AG333" s="75"/>
      <c r="AH333" s="75"/>
      <c r="AI333" s="75"/>
      <c r="AJ333" s="75"/>
      <c r="AK333" s="75"/>
      <c r="AL333" s="75"/>
      <c r="AM333" s="75"/>
      <c r="AN333" s="75"/>
      <c r="AO333" s="75"/>
      <c r="AP333" s="75"/>
      <c r="AQ333" s="75"/>
      <c r="AR333" s="75"/>
      <c r="AS333" s="75"/>
      <c r="AT333" s="75"/>
      <c r="AU333" s="75"/>
    </row>
    <row r="334" spans="1:47" x14ac:dyDescent="0.2">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c r="AA334" s="75"/>
      <c r="AB334" s="75"/>
      <c r="AC334" s="75"/>
      <c r="AD334" s="75"/>
      <c r="AE334" s="75"/>
      <c r="AF334" s="75"/>
      <c r="AG334" s="75"/>
      <c r="AH334" s="75"/>
      <c r="AI334" s="75"/>
      <c r="AJ334" s="75"/>
      <c r="AK334" s="75"/>
      <c r="AL334" s="75"/>
      <c r="AM334" s="75"/>
      <c r="AN334" s="75"/>
      <c r="AO334" s="75"/>
      <c r="AP334" s="75"/>
      <c r="AQ334" s="75"/>
      <c r="AR334" s="75"/>
      <c r="AS334" s="75"/>
      <c r="AT334" s="75"/>
      <c r="AU334" s="75"/>
    </row>
    <row r="335" spans="1:47" x14ac:dyDescent="0.2">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c r="AA335" s="75"/>
      <c r="AB335" s="75"/>
      <c r="AC335" s="75"/>
      <c r="AD335" s="75"/>
      <c r="AE335" s="75"/>
      <c r="AF335" s="75"/>
      <c r="AG335" s="75"/>
      <c r="AH335" s="75"/>
      <c r="AI335" s="75"/>
      <c r="AJ335" s="75"/>
      <c r="AK335" s="75"/>
      <c r="AL335" s="75"/>
      <c r="AM335" s="75"/>
      <c r="AN335" s="75"/>
      <c r="AO335" s="75"/>
      <c r="AP335" s="75"/>
      <c r="AQ335" s="75"/>
      <c r="AR335" s="75"/>
      <c r="AS335" s="75"/>
      <c r="AT335" s="75"/>
      <c r="AU335" s="75"/>
    </row>
    <row r="336" spans="1:47" x14ac:dyDescent="0.2">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c r="AA336" s="75"/>
      <c r="AB336" s="75"/>
      <c r="AC336" s="75"/>
      <c r="AD336" s="75"/>
      <c r="AE336" s="75"/>
      <c r="AF336" s="75"/>
      <c r="AG336" s="75"/>
      <c r="AH336" s="75"/>
      <c r="AI336" s="75"/>
      <c r="AJ336" s="75"/>
      <c r="AK336" s="75"/>
      <c r="AL336" s="75"/>
      <c r="AM336" s="75"/>
      <c r="AN336" s="75"/>
      <c r="AO336" s="75"/>
      <c r="AP336" s="75"/>
      <c r="AQ336" s="75"/>
      <c r="AR336" s="75"/>
      <c r="AS336" s="75"/>
      <c r="AT336" s="75"/>
      <c r="AU336" s="75"/>
    </row>
    <row r="337" spans="1:47" x14ac:dyDescent="0.2">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c r="AA337" s="75"/>
      <c r="AB337" s="75"/>
      <c r="AC337" s="75"/>
      <c r="AD337" s="75"/>
      <c r="AE337" s="75"/>
      <c r="AF337" s="75"/>
      <c r="AG337" s="75"/>
      <c r="AH337" s="75"/>
      <c r="AI337" s="75"/>
      <c r="AJ337" s="75"/>
      <c r="AK337" s="75"/>
      <c r="AL337" s="75"/>
      <c r="AM337" s="75"/>
      <c r="AN337" s="75"/>
      <c r="AO337" s="75"/>
      <c r="AP337" s="75"/>
      <c r="AQ337" s="75"/>
      <c r="AR337" s="75"/>
      <c r="AS337" s="75"/>
      <c r="AT337" s="75"/>
      <c r="AU337" s="75"/>
    </row>
    <row r="338" spans="1:47" x14ac:dyDescent="0.2">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c r="AA338" s="75"/>
      <c r="AB338" s="75"/>
      <c r="AC338" s="75"/>
      <c r="AD338" s="75"/>
      <c r="AE338" s="75"/>
      <c r="AF338" s="75"/>
      <c r="AG338" s="75"/>
      <c r="AH338" s="75"/>
      <c r="AI338" s="75"/>
      <c r="AJ338" s="75"/>
      <c r="AK338" s="75"/>
      <c r="AL338" s="75"/>
      <c r="AM338" s="75"/>
      <c r="AN338" s="75"/>
      <c r="AO338" s="75"/>
      <c r="AP338" s="75"/>
      <c r="AQ338" s="75"/>
      <c r="AR338" s="75"/>
      <c r="AS338" s="75"/>
      <c r="AT338" s="75"/>
      <c r="AU338" s="75"/>
    </row>
    <row r="339" spans="1:47" x14ac:dyDescent="0.2">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c r="AA339" s="75"/>
      <c r="AB339" s="75"/>
      <c r="AC339" s="75"/>
      <c r="AD339" s="75"/>
      <c r="AE339" s="75"/>
      <c r="AF339" s="75"/>
      <c r="AG339" s="75"/>
      <c r="AH339" s="75"/>
      <c r="AI339" s="75"/>
      <c r="AJ339" s="75"/>
      <c r="AK339" s="75"/>
      <c r="AL339" s="75"/>
      <c r="AM339" s="75"/>
      <c r="AN339" s="75"/>
      <c r="AO339" s="75"/>
      <c r="AP339" s="75"/>
      <c r="AQ339" s="75"/>
      <c r="AR339" s="75"/>
      <c r="AS339" s="75"/>
      <c r="AT339" s="75"/>
      <c r="AU339" s="75"/>
    </row>
    <row r="340" spans="1:47" x14ac:dyDescent="0.2">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c r="AA340" s="75"/>
      <c r="AB340" s="75"/>
      <c r="AC340" s="75"/>
      <c r="AD340" s="75"/>
      <c r="AE340" s="75"/>
      <c r="AF340" s="75"/>
      <c r="AG340" s="75"/>
      <c r="AH340" s="75"/>
      <c r="AI340" s="75"/>
      <c r="AJ340" s="75"/>
      <c r="AK340" s="75"/>
      <c r="AL340" s="75"/>
      <c r="AM340" s="75"/>
      <c r="AN340" s="75"/>
      <c r="AO340" s="75"/>
      <c r="AP340" s="75"/>
      <c r="AQ340" s="75"/>
      <c r="AR340" s="75"/>
      <c r="AS340" s="75"/>
      <c r="AT340" s="75"/>
      <c r="AU340" s="75"/>
    </row>
    <row r="341" spans="1:47" x14ac:dyDescent="0.2">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c r="AA341" s="75"/>
      <c r="AB341" s="75"/>
      <c r="AC341" s="75"/>
      <c r="AD341" s="75"/>
      <c r="AE341" s="75"/>
      <c r="AF341" s="75"/>
      <c r="AG341" s="75"/>
      <c r="AH341" s="75"/>
      <c r="AI341" s="75"/>
      <c r="AJ341" s="75"/>
      <c r="AK341" s="75"/>
      <c r="AL341" s="75"/>
      <c r="AM341" s="75"/>
      <c r="AN341" s="75"/>
      <c r="AO341" s="75"/>
      <c r="AP341" s="75"/>
      <c r="AQ341" s="75"/>
      <c r="AR341" s="75"/>
      <c r="AS341" s="75"/>
      <c r="AT341" s="75"/>
      <c r="AU341" s="75"/>
    </row>
    <row r="342" spans="1:47" x14ac:dyDescent="0.2">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c r="AA342" s="75"/>
      <c r="AB342" s="75"/>
      <c r="AC342" s="75"/>
      <c r="AD342" s="75"/>
      <c r="AE342" s="75"/>
      <c r="AF342" s="75"/>
      <c r="AG342" s="75"/>
      <c r="AH342" s="75"/>
      <c r="AI342" s="75"/>
      <c r="AJ342" s="75"/>
      <c r="AK342" s="75"/>
      <c r="AL342" s="75"/>
      <c r="AM342" s="75"/>
      <c r="AN342" s="75"/>
      <c r="AO342" s="75"/>
      <c r="AP342" s="75"/>
      <c r="AQ342" s="75"/>
      <c r="AR342" s="75"/>
      <c r="AS342" s="75"/>
      <c r="AT342" s="75"/>
      <c r="AU342" s="75"/>
    </row>
    <row r="343" spans="1:47" x14ac:dyDescent="0.2">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c r="AA343" s="75"/>
      <c r="AB343" s="75"/>
      <c r="AC343" s="75"/>
      <c r="AD343" s="75"/>
      <c r="AE343" s="75"/>
      <c r="AF343" s="75"/>
      <c r="AG343" s="75"/>
      <c r="AH343" s="75"/>
      <c r="AI343" s="75"/>
      <c r="AJ343" s="75"/>
      <c r="AK343" s="75"/>
      <c r="AL343" s="75"/>
      <c r="AM343" s="75"/>
      <c r="AN343" s="75"/>
      <c r="AO343" s="75"/>
      <c r="AP343" s="75"/>
      <c r="AQ343" s="75"/>
      <c r="AR343" s="75"/>
      <c r="AS343" s="75"/>
      <c r="AT343" s="75"/>
      <c r="AU343" s="75"/>
    </row>
    <row r="344" spans="1:47" x14ac:dyDescent="0.2">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c r="AA344" s="75"/>
      <c r="AB344" s="75"/>
      <c r="AC344" s="75"/>
      <c r="AD344" s="75"/>
      <c r="AE344" s="75"/>
      <c r="AF344" s="75"/>
      <c r="AG344" s="75"/>
      <c r="AH344" s="75"/>
      <c r="AI344" s="75"/>
      <c r="AJ344" s="75"/>
      <c r="AK344" s="75"/>
      <c r="AL344" s="75"/>
      <c r="AM344" s="75"/>
      <c r="AN344" s="75"/>
      <c r="AO344" s="75"/>
      <c r="AP344" s="75"/>
      <c r="AQ344" s="75"/>
      <c r="AR344" s="75"/>
      <c r="AS344" s="75"/>
      <c r="AT344" s="75"/>
      <c r="AU344" s="75"/>
    </row>
    <row r="345" spans="1:47" x14ac:dyDescent="0.2">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5"/>
      <c r="AH345" s="75"/>
      <c r="AI345" s="75"/>
      <c r="AJ345" s="75"/>
      <c r="AK345" s="75"/>
      <c r="AL345" s="75"/>
      <c r="AM345" s="75"/>
      <c r="AN345" s="75"/>
      <c r="AO345" s="75"/>
      <c r="AP345" s="75"/>
      <c r="AQ345" s="75"/>
      <c r="AR345" s="75"/>
      <c r="AS345" s="75"/>
      <c r="AT345" s="75"/>
      <c r="AU345" s="75"/>
    </row>
    <row r="346" spans="1:47" x14ac:dyDescent="0.2">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5"/>
      <c r="AH346" s="75"/>
      <c r="AI346" s="75"/>
      <c r="AJ346" s="75"/>
      <c r="AK346" s="75"/>
      <c r="AL346" s="75"/>
      <c r="AM346" s="75"/>
      <c r="AN346" s="75"/>
      <c r="AO346" s="75"/>
      <c r="AP346" s="75"/>
      <c r="AQ346" s="75"/>
      <c r="AR346" s="75"/>
      <c r="AS346" s="75"/>
      <c r="AT346" s="75"/>
      <c r="AU346" s="75"/>
    </row>
    <row r="347" spans="1:47" x14ac:dyDescent="0.2">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c r="AA347" s="75"/>
      <c r="AB347" s="75"/>
      <c r="AC347" s="75"/>
      <c r="AD347" s="75"/>
      <c r="AE347" s="75"/>
      <c r="AF347" s="75"/>
      <c r="AG347" s="75"/>
      <c r="AH347" s="75"/>
      <c r="AI347" s="75"/>
      <c r="AJ347" s="75"/>
      <c r="AK347" s="75"/>
      <c r="AL347" s="75"/>
      <c r="AM347" s="75"/>
      <c r="AN347" s="75"/>
      <c r="AO347" s="75"/>
      <c r="AP347" s="75"/>
      <c r="AQ347" s="75"/>
      <c r="AR347" s="75"/>
      <c r="AS347" s="75"/>
      <c r="AT347" s="75"/>
      <c r="AU347" s="75"/>
    </row>
    <row r="348" spans="1:47" x14ac:dyDescent="0.2">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5"/>
      <c r="AH348" s="75"/>
      <c r="AI348" s="75"/>
      <c r="AJ348" s="75"/>
      <c r="AK348" s="75"/>
      <c r="AL348" s="75"/>
      <c r="AM348" s="75"/>
      <c r="AN348" s="75"/>
      <c r="AO348" s="75"/>
      <c r="AP348" s="75"/>
      <c r="AQ348" s="75"/>
      <c r="AR348" s="75"/>
      <c r="AS348" s="75"/>
      <c r="AT348" s="75"/>
      <c r="AU348" s="75"/>
    </row>
    <row r="349" spans="1:47" x14ac:dyDescent="0.2">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c r="AA349" s="75"/>
      <c r="AB349" s="75"/>
      <c r="AC349" s="75"/>
      <c r="AD349" s="75"/>
      <c r="AE349" s="75"/>
      <c r="AF349" s="75"/>
      <c r="AG349" s="75"/>
      <c r="AH349" s="75"/>
      <c r="AI349" s="75"/>
      <c r="AJ349" s="75"/>
      <c r="AK349" s="75"/>
      <c r="AL349" s="75"/>
      <c r="AM349" s="75"/>
      <c r="AN349" s="75"/>
      <c r="AO349" s="75"/>
      <c r="AP349" s="75"/>
      <c r="AQ349" s="75"/>
      <c r="AR349" s="75"/>
      <c r="AS349" s="75"/>
      <c r="AT349" s="75"/>
      <c r="AU349" s="75"/>
    </row>
    <row r="350" spans="1:47" x14ac:dyDescent="0.2">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c r="AA350" s="75"/>
      <c r="AB350" s="75"/>
      <c r="AC350" s="75"/>
      <c r="AD350" s="75"/>
      <c r="AE350" s="75"/>
      <c r="AF350" s="75"/>
      <c r="AG350" s="75"/>
      <c r="AH350" s="75"/>
      <c r="AI350" s="75"/>
      <c r="AJ350" s="75"/>
      <c r="AK350" s="75"/>
      <c r="AL350" s="75"/>
      <c r="AM350" s="75"/>
      <c r="AN350" s="75"/>
      <c r="AO350" s="75"/>
      <c r="AP350" s="75"/>
      <c r="AQ350" s="75"/>
      <c r="AR350" s="75"/>
      <c r="AS350" s="75"/>
      <c r="AT350" s="75"/>
      <c r="AU350" s="75"/>
    </row>
    <row r="351" spans="1:47" x14ac:dyDescent="0.2">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c r="AA351" s="75"/>
      <c r="AB351" s="75"/>
      <c r="AC351" s="75"/>
      <c r="AD351" s="75"/>
      <c r="AE351" s="75"/>
      <c r="AF351" s="75"/>
      <c r="AG351" s="75"/>
      <c r="AH351" s="75"/>
      <c r="AI351" s="75"/>
      <c r="AJ351" s="75"/>
      <c r="AK351" s="75"/>
      <c r="AL351" s="75"/>
      <c r="AM351" s="75"/>
      <c r="AN351" s="75"/>
      <c r="AO351" s="75"/>
      <c r="AP351" s="75"/>
      <c r="AQ351" s="75"/>
      <c r="AR351" s="75"/>
      <c r="AS351" s="75"/>
      <c r="AT351" s="75"/>
      <c r="AU351" s="75"/>
    </row>
    <row r="352" spans="1:47" x14ac:dyDescent="0.2">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5"/>
      <c r="AH352" s="75"/>
      <c r="AI352" s="75"/>
      <c r="AJ352" s="75"/>
      <c r="AK352" s="75"/>
      <c r="AL352" s="75"/>
      <c r="AM352" s="75"/>
      <c r="AN352" s="75"/>
      <c r="AO352" s="75"/>
      <c r="AP352" s="75"/>
      <c r="AQ352" s="75"/>
      <c r="AR352" s="75"/>
      <c r="AS352" s="75"/>
      <c r="AT352" s="75"/>
      <c r="AU352" s="75"/>
    </row>
    <row r="353" spans="1:47" x14ac:dyDescent="0.2">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c r="AA353" s="75"/>
      <c r="AB353" s="75"/>
      <c r="AC353" s="75"/>
      <c r="AD353" s="75"/>
      <c r="AE353" s="75"/>
      <c r="AF353" s="75"/>
      <c r="AG353" s="75"/>
      <c r="AH353" s="75"/>
      <c r="AI353" s="75"/>
      <c r="AJ353" s="75"/>
      <c r="AK353" s="75"/>
      <c r="AL353" s="75"/>
      <c r="AM353" s="75"/>
      <c r="AN353" s="75"/>
      <c r="AO353" s="75"/>
      <c r="AP353" s="75"/>
      <c r="AQ353" s="75"/>
      <c r="AR353" s="75"/>
      <c r="AS353" s="75"/>
      <c r="AT353" s="75"/>
      <c r="AU353" s="75"/>
    </row>
    <row r="354" spans="1:47" x14ac:dyDescent="0.2">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c r="AA354" s="75"/>
      <c r="AB354" s="75"/>
      <c r="AC354" s="75"/>
      <c r="AD354" s="75"/>
      <c r="AE354" s="75"/>
      <c r="AF354" s="75"/>
      <c r="AG354" s="75"/>
      <c r="AH354" s="75"/>
      <c r="AI354" s="75"/>
      <c r="AJ354" s="75"/>
      <c r="AK354" s="75"/>
      <c r="AL354" s="75"/>
      <c r="AM354" s="75"/>
      <c r="AN354" s="75"/>
      <c r="AO354" s="75"/>
      <c r="AP354" s="75"/>
      <c r="AQ354" s="75"/>
      <c r="AR354" s="75"/>
      <c r="AS354" s="75"/>
      <c r="AT354" s="75"/>
      <c r="AU354" s="75"/>
    </row>
    <row r="355" spans="1:47" x14ac:dyDescent="0.2">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c r="AA355" s="75"/>
      <c r="AB355" s="75"/>
      <c r="AC355" s="75"/>
      <c r="AD355" s="75"/>
      <c r="AE355" s="75"/>
      <c r="AF355" s="75"/>
      <c r="AG355" s="75"/>
      <c r="AH355" s="75"/>
      <c r="AI355" s="75"/>
      <c r="AJ355" s="75"/>
      <c r="AK355" s="75"/>
      <c r="AL355" s="75"/>
      <c r="AM355" s="75"/>
      <c r="AN355" s="75"/>
      <c r="AO355" s="75"/>
      <c r="AP355" s="75"/>
      <c r="AQ355" s="75"/>
      <c r="AR355" s="75"/>
      <c r="AS355" s="75"/>
      <c r="AT355" s="75"/>
      <c r="AU355" s="75"/>
    </row>
    <row r="356" spans="1:47" x14ac:dyDescent="0.2">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c r="AA356" s="75"/>
      <c r="AB356" s="75"/>
      <c r="AC356" s="75"/>
      <c r="AD356" s="75"/>
      <c r="AE356" s="75"/>
      <c r="AF356" s="75"/>
      <c r="AG356" s="75"/>
      <c r="AH356" s="75"/>
      <c r="AI356" s="75"/>
      <c r="AJ356" s="75"/>
      <c r="AK356" s="75"/>
      <c r="AL356" s="75"/>
      <c r="AM356" s="75"/>
      <c r="AN356" s="75"/>
      <c r="AO356" s="75"/>
      <c r="AP356" s="75"/>
      <c r="AQ356" s="75"/>
      <c r="AR356" s="75"/>
      <c r="AS356" s="75"/>
      <c r="AT356" s="75"/>
      <c r="AU356" s="75"/>
    </row>
    <row r="357" spans="1:47" x14ac:dyDescent="0.2">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c r="AA357" s="75"/>
      <c r="AB357" s="75"/>
      <c r="AC357" s="75"/>
      <c r="AD357" s="75"/>
      <c r="AE357" s="75"/>
      <c r="AF357" s="75"/>
      <c r="AG357" s="75"/>
      <c r="AH357" s="75"/>
      <c r="AI357" s="75"/>
      <c r="AJ357" s="75"/>
      <c r="AK357" s="75"/>
      <c r="AL357" s="75"/>
      <c r="AM357" s="75"/>
      <c r="AN357" s="75"/>
      <c r="AO357" s="75"/>
      <c r="AP357" s="75"/>
      <c r="AQ357" s="75"/>
      <c r="AR357" s="75"/>
      <c r="AS357" s="75"/>
      <c r="AT357" s="75"/>
      <c r="AU357" s="75"/>
    </row>
    <row r="358" spans="1:47" x14ac:dyDescent="0.2">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c r="AA358" s="75"/>
      <c r="AB358" s="75"/>
      <c r="AC358" s="75"/>
      <c r="AD358" s="75"/>
      <c r="AE358" s="75"/>
      <c r="AF358" s="75"/>
      <c r="AG358" s="75"/>
      <c r="AH358" s="75"/>
      <c r="AI358" s="75"/>
      <c r="AJ358" s="75"/>
      <c r="AK358" s="75"/>
      <c r="AL358" s="75"/>
      <c r="AM358" s="75"/>
      <c r="AN358" s="75"/>
      <c r="AO358" s="75"/>
      <c r="AP358" s="75"/>
      <c r="AQ358" s="75"/>
      <c r="AR358" s="75"/>
      <c r="AS358" s="75"/>
      <c r="AT358" s="75"/>
      <c r="AU358" s="75"/>
    </row>
    <row r="359" spans="1:47" x14ac:dyDescent="0.2">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c r="AA359" s="75"/>
      <c r="AB359" s="75"/>
      <c r="AC359" s="75"/>
      <c r="AD359" s="75"/>
      <c r="AE359" s="75"/>
      <c r="AF359" s="75"/>
      <c r="AG359" s="75"/>
      <c r="AH359" s="75"/>
      <c r="AI359" s="75"/>
      <c r="AJ359" s="75"/>
      <c r="AK359" s="75"/>
      <c r="AL359" s="75"/>
      <c r="AM359" s="75"/>
      <c r="AN359" s="75"/>
      <c r="AO359" s="75"/>
      <c r="AP359" s="75"/>
      <c r="AQ359" s="75"/>
      <c r="AR359" s="75"/>
      <c r="AS359" s="75"/>
      <c r="AT359" s="75"/>
      <c r="AU359" s="75"/>
    </row>
    <row r="360" spans="1:47" x14ac:dyDescent="0.2">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c r="AA360" s="75"/>
      <c r="AB360" s="75"/>
      <c r="AC360" s="75"/>
      <c r="AD360" s="75"/>
      <c r="AE360" s="75"/>
      <c r="AF360" s="75"/>
      <c r="AG360" s="75"/>
      <c r="AH360" s="75"/>
      <c r="AI360" s="75"/>
      <c r="AJ360" s="75"/>
      <c r="AK360" s="75"/>
      <c r="AL360" s="75"/>
      <c r="AM360" s="75"/>
      <c r="AN360" s="75"/>
      <c r="AO360" s="75"/>
      <c r="AP360" s="75"/>
      <c r="AQ360" s="75"/>
      <c r="AR360" s="75"/>
      <c r="AS360" s="75"/>
      <c r="AT360" s="75"/>
      <c r="AU360" s="75"/>
    </row>
    <row r="361" spans="1:47" x14ac:dyDescent="0.2">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row>
    <row r="362" spans="1:47" x14ac:dyDescent="0.2">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row>
    <row r="363" spans="1:47" x14ac:dyDescent="0.2">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row>
    <row r="364" spans="1:47" x14ac:dyDescent="0.2">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c r="AA364" s="75"/>
      <c r="AB364" s="75"/>
      <c r="AC364" s="75"/>
      <c r="AD364" s="75"/>
      <c r="AE364" s="75"/>
      <c r="AF364" s="75"/>
      <c r="AG364" s="75"/>
      <c r="AH364" s="75"/>
      <c r="AI364" s="75"/>
      <c r="AJ364" s="75"/>
      <c r="AK364" s="75"/>
      <c r="AL364" s="75"/>
      <c r="AM364" s="75"/>
      <c r="AN364" s="75"/>
      <c r="AO364" s="75"/>
      <c r="AP364" s="75"/>
      <c r="AQ364" s="75"/>
      <c r="AR364" s="75"/>
      <c r="AS364" s="75"/>
      <c r="AT364" s="75"/>
      <c r="AU364" s="75"/>
    </row>
    <row r="365" spans="1:47" x14ac:dyDescent="0.2">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c r="AA365" s="75"/>
      <c r="AB365" s="75"/>
      <c r="AC365" s="75"/>
      <c r="AD365" s="75"/>
      <c r="AE365" s="75"/>
      <c r="AF365" s="75"/>
      <c r="AG365" s="75"/>
      <c r="AH365" s="75"/>
      <c r="AI365" s="75"/>
      <c r="AJ365" s="75"/>
      <c r="AK365" s="75"/>
      <c r="AL365" s="75"/>
      <c r="AM365" s="75"/>
      <c r="AN365" s="75"/>
      <c r="AO365" s="75"/>
      <c r="AP365" s="75"/>
      <c r="AQ365" s="75"/>
      <c r="AR365" s="75"/>
      <c r="AS365" s="75"/>
      <c r="AT365" s="75"/>
      <c r="AU365" s="75"/>
    </row>
    <row r="366" spans="1:47" x14ac:dyDescent="0.2">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c r="AA366" s="75"/>
      <c r="AB366" s="75"/>
      <c r="AC366" s="75"/>
      <c r="AD366" s="75"/>
      <c r="AE366" s="75"/>
      <c r="AF366" s="75"/>
      <c r="AG366" s="75"/>
      <c r="AH366" s="75"/>
      <c r="AI366" s="75"/>
      <c r="AJ366" s="75"/>
      <c r="AK366" s="75"/>
      <c r="AL366" s="75"/>
      <c r="AM366" s="75"/>
      <c r="AN366" s="75"/>
      <c r="AO366" s="75"/>
      <c r="AP366" s="75"/>
      <c r="AQ366" s="75"/>
      <c r="AR366" s="75"/>
      <c r="AS366" s="75"/>
      <c r="AT366" s="75"/>
      <c r="AU366" s="75"/>
    </row>
    <row r="367" spans="1:47" x14ac:dyDescent="0.2">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c r="AA367" s="75"/>
      <c r="AB367" s="75"/>
      <c r="AC367" s="75"/>
      <c r="AD367" s="75"/>
      <c r="AE367" s="75"/>
      <c r="AF367" s="75"/>
      <c r="AG367" s="75"/>
      <c r="AH367" s="75"/>
      <c r="AI367" s="75"/>
      <c r="AJ367" s="75"/>
      <c r="AK367" s="75"/>
      <c r="AL367" s="75"/>
      <c r="AM367" s="75"/>
      <c r="AN367" s="75"/>
      <c r="AO367" s="75"/>
      <c r="AP367" s="75"/>
      <c r="AQ367" s="75"/>
      <c r="AR367" s="75"/>
      <c r="AS367" s="75"/>
      <c r="AT367" s="75"/>
      <c r="AU367" s="75"/>
    </row>
    <row r="368" spans="1:47" x14ac:dyDescent="0.2">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c r="AA368" s="75"/>
      <c r="AB368" s="75"/>
      <c r="AC368" s="75"/>
      <c r="AD368" s="75"/>
      <c r="AE368" s="75"/>
      <c r="AF368" s="75"/>
      <c r="AG368" s="75"/>
      <c r="AH368" s="75"/>
      <c r="AI368" s="75"/>
      <c r="AJ368" s="75"/>
      <c r="AK368" s="75"/>
      <c r="AL368" s="75"/>
      <c r="AM368" s="75"/>
      <c r="AN368" s="75"/>
      <c r="AO368" s="75"/>
      <c r="AP368" s="75"/>
      <c r="AQ368" s="75"/>
      <c r="AR368" s="75"/>
      <c r="AS368" s="75"/>
      <c r="AT368" s="75"/>
      <c r="AU368" s="75"/>
    </row>
    <row r="369" spans="1:47" x14ac:dyDescent="0.2">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c r="AA369" s="75"/>
      <c r="AB369" s="75"/>
      <c r="AC369" s="75"/>
      <c r="AD369" s="75"/>
      <c r="AE369" s="75"/>
      <c r="AF369" s="75"/>
      <c r="AG369" s="75"/>
      <c r="AH369" s="75"/>
      <c r="AI369" s="75"/>
      <c r="AJ369" s="75"/>
      <c r="AK369" s="75"/>
      <c r="AL369" s="75"/>
      <c r="AM369" s="75"/>
      <c r="AN369" s="75"/>
      <c r="AO369" s="75"/>
      <c r="AP369" s="75"/>
      <c r="AQ369" s="75"/>
      <c r="AR369" s="75"/>
      <c r="AS369" s="75"/>
      <c r="AT369" s="75"/>
      <c r="AU369" s="75"/>
    </row>
    <row r="370" spans="1:47" x14ac:dyDescent="0.2">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c r="AA370" s="75"/>
      <c r="AB370" s="75"/>
      <c r="AC370" s="75"/>
      <c r="AD370" s="75"/>
      <c r="AE370" s="75"/>
      <c r="AF370" s="75"/>
      <c r="AG370" s="75"/>
      <c r="AH370" s="75"/>
      <c r="AI370" s="75"/>
      <c r="AJ370" s="75"/>
      <c r="AK370" s="75"/>
      <c r="AL370" s="75"/>
      <c r="AM370" s="75"/>
      <c r="AN370" s="75"/>
      <c r="AO370" s="75"/>
      <c r="AP370" s="75"/>
      <c r="AQ370" s="75"/>
      <c r="AR370" s="75"/>
      <c r="AS370" s="75"/>
      <c r="AT370" s="75"/>
      <c r="AU370" s="75"/>
    </row>
    <row r="371" spans="1:47" x14ac:dyDescent="0.2">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c r="AA371" s="75"/>
      <c r="AB371" s="75"/>
      <c r="AC371" s="75"/>
      <c r="AD371" s="75"/>
      <c r="AE371" s="75"/>
      <c r="AF371" s="75"/>
      <c r="AG371" s="75"/>
      <c r="AH371" s="75"/>
      <c r="AI371" s="75"/>
      <c r="AJ371" s="75"/>
      <c r="AK371" s="75"/>
      <c r="AL371" s="75"/>
      <c r="AM371" s="75"/>
      <c r="AN371" s="75"/>
      <c r="AO371" s="75"/>
      <c r="AP371" s="75"/>
      <c r="AQ371" s="75"/>
      <c r="AR371" s="75"/>
      <c r="AS371" s="75"/>
      <c r="AT371" s="75"/>
      <c r="AU371" s="75"/>
    </row>
    <row r="372" spans="1:47" x14ac:dyDescent="0.2">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c r="AA372" s="75"/>
      <c r="AB372" s="75"/>
      <c r="AC372" s="75"/>
      <c r="AD372" s="75"/>
      <c r="AE372" s="75"/>
      <c r="AF372" s="75"/>
      <c r="AG372" s="75"/>
      <c r="AH372" s="75"/>
      <c r="AI372" s="75"/>
      <c r="AJ372" s="75"/>
      <c r="AK372" s="75"/>
      <c r="AL372" s="75"/>
      <c r="AM372" s="75"/>
      <c r="AN372" s="75"/>
      <c r="AO372" s="75"/>
      <c r="AP372" s="75"/>
      <c r="AQ372" s="75"/>
      <c r="AR372" s="75"/>
      <c r="AS372" s="75"/>
      <c r="AT372" s="75"/>
      <c r="AU372" s="75"/>
    </row>
    <row r="373" spans="1:47" x14ac:dyDescent="0.2">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c r="AA373" s="75"/>
      <c r="AB373" s="75"/>
      <c r="AC373" s="75"/>
      <c r="AD373" s="75"/>
      <c r="AE373" s="75"/>
      <c r="AF373" s="75"/>
      <c r="AG373" s="75"/>
      <c r="AH373" s="75"/>
      <c r="AI373" s="75"/>
      <c r="AJ373" s="75"/>
      <c r="AK373" s="75"/>
      <c r="AL373" s="75"/>
      <c r="AM373" s="75"/>
      <c r="AN373" s="75"/>
      <c r="AO373" s="75"/>
      <c r="AP373" s="75"/>
      <c r="AQ373" s="75"/>
      <c r="AR373" s="75"/>
      <c r="AS373" s="75"/>
      <c r="AT373" s="75"/>
      <c r="AU373" s="75"/>
    </row>
    <row r="374" spans="1:47" x14ac:dyDescent="0.2">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c r="AA374" s="75"/>
      <c r="AB374" s="75"/>
      <c r="AC374" s="75"/>
      <c r="AD374" s="75"/>
      <c r="AE374" s="75"/>
      <c r="AF374" s="75"/>
      <c r="AG374" s="75"/>
      <c r="AH374" s="75"/>
      <c r="AI374" s="75"/>
      <c r="AJ374" s="75"/>
      <c r="AK374" s="75"/>
      <c r="AL374" s="75"/>
      <c r="AM374" s="75"/>
      <c r="AN374" s="75"/>
      <c r="AO374" s="75"/>
      <c r="AP374" s="75"/>
      <c r="AQ374" s="75"/>
      <c r="AR374" s="75"/>
      <c r="AS374" s="75"/>
      <c r="AT374" s="75"/>
      <c r="AU374" s="75"/>
    </row>
    <row r="375" spans="1:47" x14ac:dyDescent="0.2">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c r="AA375" s="75"/>
      <c r="AB375" s="75"/>
      <c r="AC375" s="75"/>
      <c r="AD375" s="75"/>
      <c r="AE375" s="75"/>
      <c r="AF375" s="75"/>
      <c r="AG375" s="75"/>
      <c r="AH375" s="75"/>
      <c r="AI375" s="75"/>
      <c r="AJ375" s="75"/>
      <c r="AK375" s="75"/>
      <c r="AL375" s="75"/>
      <c r="AM375" s="75"/>
      <c r="AN375" s="75"/>
      <c r="AO375" s="75"/>
      <c r="AP375" s="75"/>
      <c r="AQ375" s="75"/>
      <c r="AR375" s="75"/>
      <c r="AS375" s="75"/>
      <c r="AT375" s="75"/>
      <c r="AU375" s="75"/>
    </row>
    <row r="376" spans="1:47" x14ac:dyDescent="0.2">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c r="AA376" s="75"/>
      <c r="AB376" s="75"/>
      <c r="AC376" s="75"/>
      <c r="AD376" s="75"/>
      <c r="AE376" s="75"/>
      <c r="AF376" s="75"/>
      <c r="AG376" s="75"/>
      <c r="AH376" s="75"/>
      <c r="AI376" s="75"/>
      <c r="AJ376" s="75"/>
      <c r="AK376" s="75"/>
      <c r="AL376" s="75"/>
      <c r="AM376" s="75"/>
      <c r="AN376" s="75"/>
      <c r="AO376" s="75"/>
      <c r="AP376" s="75"/>
      <c r="AQ376" s="75"/>
      <c r="AR376" s="75"/>
      <c r="AS376" s="75"/>
      <c r="AT376" s="75"/>
      <c r="AU376" s="75"/>
    </row>
    <row r="377" spans="1:47" x14ac:dyDescent="0.2">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c r="AA377" s="75"/>
      <c r="AB377" s="75"/>
      <c r="AC377" s="75"/>
      <c r="AD377" s="75"/>
      <c r="AE377" s="75"/>
      <c r="AF377" s="75"/>
      <c r="AG377" s="75"/>
      <c r="AH377" s="75"/>
      <c r="AI377" s="75"/>
      <c r="AJ377" s="75"/>
      <c r="AK377" s="75"/>
      <c r="AL377" s="75"/>
      <c r="AM377" s="75"/>
      <c r="AN377" s="75"/>
      <c r="AO377" s="75"/>
      <c r="AP377" s="75"/>
      <c r="AQ377" s="75"/>
      <c r="AR377" s="75"/>
      <c r="AS377" s="75"/>
      <c r="AT377" s="75"/>
      <c r="AU377" s="75"/>
    </row>
    <row r="378" spans="1:47" x14ac:dyDescent="0.2">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c r="AA378" s="75"/>
      <c r="AB378" s="75"/>
      <c r="AC378" s="75"/>
      <c r="AD378" s="75"/>
      <c r="AE378" s="75"/>
      <c r="AF378" s="75"/>
      <c r="AG378" s="75"/>
      <c r="AH378" s="75"/>
      <c r="AI378" s="75"/>
      <c r="AJ378" s="75"/>
      <c r="AK378" s="75"/>
      <c r="AL378" s="75"/>
      <c r="AM378" s="75"/>
      <c r="AN378" s="75"/>
      <c r="AO378" s="75"/>
      <c r="AP378" s="75"/>
      <c r="AQ378" s="75"/>
      <c r="AR378" s="75"/>
      <c r="AS378" s="75"/>
      <c r="AT378" s="75"/>
      <c r="AU378" s="75"/>
    </row>
    <row r="379" spans="1:47" x14ac:dyDescent="0.2">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c r="AA379" s="75"/>
      <c r="AB379" s="75"/>
      <c r="AC379" s="75"/>
      <c r="AD379" s="75"/>
      <c r="AE379" s="75"/>
      <c r="AF379" s="75"/>
      <c r="AG379" s="75"/>
      <c r="AH379" s="75"/>
      <c r="AI379" s="75"/>
      <c r="AJ379" s="75"/>
      <c r="AK379" s="75"/>
      <c r="AL379" s="75"/>
      <c r="AM379" s="75"/>
      <c r="AN379" s="75"/>
      <c r="AO379" s="75"/>
      <c r="AP379" s="75"/>
      <c r="AQ379" s="75"/>
      <c r="AR379" s="75"/>
      <c r="AS379" s="75"/>
      <c r="AT379" s="75"/>
      <c r="AU379" s="75"/>
    </row>
    <row r="380" spans="1:47" x14ac:dyDescent="0.2">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c r="AA380" s="75"/>
      <c r="AB380" s="75"/>
      <c r="AC380" s="75"/>
      <c r="AD380" s="75"/>
      <c r="AE380" s="75"/>
      <c r="AF380" s="75"/>
      <c r="AG380" s="75"/>
      <c r="AH380" s="75"/>
      <c r="AI380" s="75"/>
      <c r="AJ380" s="75"/>
      <c r="AK380" s="75"/>
      <c r="AL380" s="75"/>
      <c r="AM380" s="75"/>
      <c r="AN380" s="75"/>
      <c r="AO380" s="75"/>
      <c r="AP380" s="75"/>
      <c r="AQ380" s="75"/>
      <c r="AR380" s="75"/>
      <c r="AS380" s="75"/>
      <c r="AT380" s="75"/>
      <c r="AU380" s="75"/>
    </row>
    <row r="381" spans="1:47" x14ac:dyDescent="0.2">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c r="AA381" s="75"/>
      <c r="AB381" s="75"/>
      <c r="AC381" s="75"/>
      <c r="AD381" s="75"/>
      <c r="AE381" s="75"/>
      <c r="AF381" s="75"/>
      <c r="AG381" s="75"/>
      <c r="AH381" s="75"/>
      <c r="AI381" s="75"/>
      <c r="AJ381" s="75"/>
      <c r="AK381" s="75"/>
      <c r="AL381" s="75"/>
      <c r="AM381" s="75"/>
      <c r="AN381" s="75"/>
      <c r="AO381" s="75"/>
      <c r="AP381" s="75"/>
      <c r="AQ381" s="75"/>
      <c r="AR381" s="75"/>
      <c r="AS381" s="75"/>
      <c r="AT381" s="75"/>
      <c r="AU381" s="75"/>
    </row>
    <row r="382" spans="1:47" x14ac:dyDescent="0.2">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c r="AA382" s="75"/>
      <c r="AB382" s="75"/>
      <c r="AC382" s="75"/>
      <c r="AD382" s="75"/>
      <c r="AE382" s="75"/>
      <c r="AF382" s="75"/>
      <c r="AG382" s="75"/>
      <c r="AH382" s="75"/>
      <c r="AI382" s="75"/>
      <c r="AJ382" s="75"/>
      <c r="AK382" s="75"/>
      <c r="AL382" s="75"/>
      <c r="AM382" s="75"/>
      <c r="AN382" s="75"/>
      <c r="AO382" s="75"/>
      <c r="AP382" s="75"/>
      <c r="AQ382" s="75"/>
      <c r="AR382" s="75"/>
      <c r="AS382" s="75"/>
      <c r="AT382" s="75"/>
      <c r="AU382" s="75"/>
    </row>
    <row r="383" spans="1:47" x14ac:dyDescent="0.2">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c r="AA383" s="75"/>
      <c r="AB383" s="75"/>
      <c r="AC383" s="75"/>
      <c r="AD383" s="75"/>
      <c r="AE383" s="75"/>
      <c r="AF383" s="75"/>
      <c r="AG383" s="75"/>
      <c r="AH383" s="75"/>
      <c r="AI383" s="75"/>
      <c r="AJ383" s="75"/>
      <c r="AK383" s="75"/>
      <c r="AL383" s="75"/>
      <c r="AM383" s="75"/>
      <c r="AN383" s="75"/>
      <c r="AO383" s="75"/>
      <c r="AP383" s="75"/>
      <c r="AQ383" s="75"/>
      <c r="AR383" s="75"/>
      <c r="AS383" s="75"/>
      <c r="AT383" s="75"/>
      <c r="AU383" s="75"/>
    </row>
    <row r="384" spans="1:47" x14ac:dyDescent="0.2">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c r="AA384" s="75"/>
      <c r="AB384" s="75"/>
      <c r="AC384" s="75"/>
      <c r="AD384" s="75"/>
      <c r="AE384" s="75"/>
      <c r="AF384" s="75"/>
      <c r="AG384" s="75"/>
      <c r="AH384" s="75"/>
      <c r="AI384" s="75"/>
      <c r="AJ384" s="75"/>
      <c r="AK384" s="75"/>
      <c r="AL384" s="75"/>
      <c r="AM384" s="75"/>
      <c r="AN384" s="75"/>
      <c r="AO384" s="75"/>
      <c r="AP384" s="75"/>
      <c r="AQ384" s="75"/>
      <c r="AR384" s="75"/>
      <c r="AS384" s="75"/>
      <c r="AT384" s="75"/>
      <c r="AU384" s="75"/>
    </row>
    <row r="385" spans="1:47" x14ac:dyDescent="0.2">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c r="AA385" s="75"/>
      <c r="AB385" s="75"/>
      <c r="AC385" s="75"/>
      <c r="AD385" s="75"/>
      <c r="AE385" s="75"/>
      <c r="AF385" s="75"/>
      <c r="AG385" s="75"/>
      <c r="AH385" s="75"/>
      <c r="AI385" s="75"/>
      <c r="AJ385" s="75"/>
      <c r="AK385" s="75"/>
      <c r="AL385" s="75"/>
      <c r="AM385" s="75"/>
      <c r="AN385" s="75"/>
      <c r="AO385" s="75"/>
      <c r="AP385" s="75"/>
      <c r="AQ385" s="75"/>
      <c r="AR385" s="75"/>
      <c r="AS385" s="75"/>
      <c r="AT385" s="75"/>
      <c r="AU385" s="75"/>
    </row>
    <row r="386" spans="1:47" x14ac:dyDescent="0.2">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c r="AA386" s="75"/>
      <c r="AB386" s="75"/>
      <c r="AC386" s="75"/>
      <c r="AD386" s="75"/>
      <c r="AE386" s="75"/>
      <c r="AF386" s="75"/>
      <c r="AG386" s="75"/>
      <c r="AH386" s="75"/>
      <c r="AI386" s="75"/>
      <c r="AJ386" s="75"/>
      <c r="AK386" s="75"/>
      <c r="AL386" s="75"/>
      <c r="AM386" s="75"/>
      <c r="AN386" s="75"/>
      <c r="AO386" s="75"/>
      <c r="AP386" s="75"/>
      <c r="AQ386" s="75"/>
      <c r="AR386" s="75"/>
      <c r="AS386" s="75"/>
      <c r="AT386" s="75"/>
      <c r="AU386" s="75"/>
    </row>
    <row r="387" spans="1:47" x14ac:dyDescent="0.2">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c r="AA387" s="75"/>
      <c r="AB387" s="75"/>
      <c r="AC387" s="75"/>
      <c r="AD387" s="75"/>
      <c r="AE387" s="75"/>
      <c r="AF387" s="75"/>
      <c r="AG387" s="75"/>
      <c r="AH387" s="75"/>
      <c r="AI387" s="75"/>
      <c r="AJ387" s="75"/>
      <c r="AK387" s="75"/>
      <c r="AL387" s="75"/>
      <c r="AM387" s="75"/>
      <c r="AN387" s="75"/>
      <c r="AO387" s="75"/>
      <c r="AP387" s="75"/>
      <c r="AQ387" s="75"/>
      <c r="AR387" s="75"/>
      <c r="AS387" s="75"/>
      <c r="AT387" s="75"/>
      <c r="AU387" s="75"/>
    </row>
    <row r="388" spans="1:47" x14ac:dyDescent="0.2">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c r="AA388" s="75"/>
      <c r="AB388" s="75"/>
      <c r="AC388" s="75"/>
      <c r="AD388" s="75"/>
      <c r="AE388" s="75"/>
      <c r="AF388" s="75"/>
      <c r="AG388" s="75"/>
      <c r="AH388" s="75"/>
      <c r="AI388" s="75"/>
      <c r="AJ388" s="75"/>
      <c r="AK388" s="75"/>
      <c r="AL388" s="75"/>
      <c r="AM388" s="75"/>
      <c r="AN388" s="75"/>
      <c r="AO388" s="75"/>
      <c r="AP388" s="75"/>
      <c r="AQ388" s="75"/>
      <c r="AR388" s="75"/>
      <c r="AS388" s="75"/>
      <c r="AT388" s="75"/>
      <c r="AU388" s="75"/>
    </row>
    <row r="389" spans="1:47" x14ac:dyDescent="0.2">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c r="AA389" s="75"/>
      <c r="AB389" s="75"/>
      <c r="AC389" s="75"/>
      <c r="AD389" s="75"/>
      <c r="AE389" s="75"/>
      <c r="AF389" s="75"/>
      <c r="AG389" s="75"/>
      <c r="AH389" s="75"/>
      <c r="AI389" s="75"/>
      <c r="AJ389" s="75"/>
      <c r="AK389" s="75"/>
      <c r="AL389" s="75"/>
      <c r="AM389" s="75"/>
      <c r="AN389" s="75"/>
      <c r="AO389" s="75"/>
      <c r="AP389" s="75"/>
      <c r="AQ389" s="75"/>
      <c r="AR389" s="75"/>
      <c r="AS389" s="75"/>
      <c r="AT389" s="75"/>
      <c r="AU389" s="75"/>
    </row>
    <row r="390" spans="1:47" x14ac:dyDescent="0.2">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c r="AA390" s="75"/>
      <c r="AB390" s="75"/>
      <c r="AC390" s="75"/>
      <c r="AD390" s="75"/>
      <c r="AE390" s="75"/>
      <c r="AF390" s="75"/>
      <c r="AG390" s="75"/>
      <c r="AH390" s="75"/>
      <c r="AI390" s="75"/>
      <c r="AJ390" s="75"/>
      <c r="AK390" s="75"/>
      <c r="AL390" s="75"/>
      <c r="AM390" s="75"/>
      <c r="AN390" s="75"/>
      <c r="AO390" s="75"/>
      <c r="AP390" s="75"/>
      <c r="AQ390" s="75"/>
      <c r="AR390" s="75"/>
      <c r="AS390" s="75"/>
      <c r="AT390" s="75"/>
      <c r="AU390" s="75"/>
    </row>
    <row r="391" spans="1:47" x14ac:dyDescent="0.2">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c r="AA391" s="75"/>
      <c r="AB391" s="75"/>
      <c r="AC391" s="75"/>
      <c r="AD391" s="75"/>
      <c r="AE391" s="75"/>
      <c r="AF391" s="75"/>
      <c r="AG391" s="75"/>
      <c r="AH391" s="75"/>
      <c r="AI391" s="75"/>
      <c r="AJ391" s="75"/>
      <c r="AK391" s="75"/>
      <c r="AL391" s="75"/>
      <c r="AM391" s="75"/>
      <c r="AN391" s="75"/>
      <c r="AO391" s="75"/>
      <c r="AP391" s="75"/>
      <c r="AQ391" s="75"/>
      <c r="AR391" s="75"/>
      <c r="AS391" s="75"/>
      <c r="AT391" s="75"/>
      <c r="AU391" s="75"/>
    </row>
    <row r="392" spans="1:47" x14ac:dyDescent="0.2">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5"/>
      <c r="AH392" s="75"/>
      <c r="AI392" s="75"/>
      <c r="AJ392" s="75"/>
      <c r="AK392" s="75"/>
      <c r="AL392" s="75"/>
      <c r="AM392" s="75"/>
      <c r="AN392" s="75"/>
      <c r="AO392" s="75"/>
      <c r="AP392" s="75"/>
      <c r="AQ392" s="75"/>
      <c r="AR392" s="75"/>
      <c r="AS392" s="75"/>
      <c r="AT392" s="75"/>
      <c r="AU392" s="75"/>
    </row>
    <row r="393" spans="1:47" x14ac:dyDescent="0.2">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c r="AA393" s="75"/>
      <c r="AB393" s="75"/>
      <c r="AC393" s="75"/>
      <c r="AD393" s="75"/>
      <c r="AE393" s="75"/>
      <c r="AF393" s="75"/>
      <c r="AG393" s="75"/>
      <c r="AH393" s="75"/>
      <c r="AI393" s="75"/>
      <c r="AJ393" s="75"/>
      <c r="AK393" s="75"/>
      <c r="AL393" s="75"/>
      <c r="AM393" s="75"/>
      <c r="AN393" s="75"/>
      <c r="AO393" s="75"/>
      <c r="AP393" s="75"/>
      <c r="AQ393" s="75"/>
      <c r="AR393" s="75"/>
      <c r="AS393" s="75"/>
      <c r="AT393" s="75"/>
      <c r="AU393" s="75"/>
    </row>
    <row r="394" spans="1:47" x14ac:dyDescent="0.2">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c r="AA394" s="75"/>
      <c r="AB394" s="75"/>
      <c r="AC394" s="75"/>
      <c r="AD394" s="75"/>
      <c r="AE394" s="75"/>
      <c r="AF394" s="75"/>
      <c r="AG394" s="75"/>
      <c r="AH394" s="75"/>
      <c r="AI394" s="75"/>
      <c r="AJ394" s="75"/>
      <c r="AK394" s="75"/>
      <c r="AL394" s="75"/>
      <c r="AM394" s="75"/>
      <c r="AN394" s="75"/>
      <c r="AO394" s="75"/>
      <c r="AP394" s="75"/>
      <c r="AQ394" s="75"/>
      <c r="AR394" s="75"/>
      <c r="AS394" s="75"/>
      <c r="AT394" s="75"/>
      <c r="AU394" s="75"/>
    </row>
    <row r="395" spans="1:47" x14ac:dyDescent="0.2">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c r="AA395" s="75"/>
      <c r="AB395" s="75"/>
      <c r="AC395" s="75"/>
      <c r="AD395" s="75"/>
      <c r="AE395" s="75"/>
      <c r="AF395" s="75"/>
      <c r="AG395" s="75"/>
      <c r="AH395" s="75"/>
      <c r="AI395" s="75"/>
      <c r="AJ395" s="75"/>
      <c r="AK395" s="75"/>
      <c r="AL395" s="75"/>
      <c r="AM395" s="75"/>
      <c r="AN395" s="75"/>
      <c r="AO395" s="75"/>
      <c r="AP395" s="75"/>
      <c r="AQ395" s="75"/>
      <c r="AR395" s="75"/>
      <c r="AS395" s="75"/>
      <c r="AT395" s="75"/>
      <c r="AU395" s="75"/>
    </row>
    <row r="396" spans="1:47" x14ac:dyDescent="0.2">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c r="AA396" s="75"/>
      <c r="AB396" s="75"/>
      <c r="AC396" s="75"/>
      <c r="AD396" s="75"/>
      <c r="AE396" s="75"/>
      <c r="AF396" s="75"/>
      <c r="AG396" s="75"/>
      <c r="AH396" s="75"/>
      <c r="AI396" s="75"/>
      <c r="AJ396" s="75"/>
      <c r="AK396" s="75"/>
      <c r="AL396" s="75"/>
      <c r="AM396" s="75"/>
      <c r="AN396" s="75"/>
      <c r="AO396" s="75"/>
      <c r="AP396" s="75"/>
      <c r="AQ396" s="75"/>
      <c r="AR396" s="75"/>
      <c r="AS396" s="75"/>
      <c r="AT396" s="75"/>
      <c r="AU396" s="75"/>
    </row>
    <row r="397" spans="1:47" x14ac:dyDescent="0.2">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c r="AA397" s="75"/>
      <c r="AB397" s="75"/>
      <c r="AC397" s="75"/>
      <c r="AD397" s="75"/>
      <c r="AE397" s="75"/>
      <c r="AF397" s="75"/>
      <c r="AG397" s="75"/>
      <c r="AH397" s="75"/>
      <c r="AI397" s="75"/>
      <c r="AJ397" s="75"/>
      <c r="AK397" s="75"/>
      <c r="AL397" s="75"/>
      <c r="AM397" s="75"/>
      <c r="AN397" s="75"/>
      <c r="AO397" s="75"/>
      <c r="AP397" s="75"/>
      <c r="AQ397" s="75"/>
      <c r="AR397" s="75"/>
      <c r="AS397" s="75"/>
      <c r="AT397" s="75"/>
      <c r="AU397" s="75"/>
    </row>
    <row r="398" spans="1:47" x14ac:dyDescent="0.2">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c r="AA398" s="75"/>
      <c r="AB398" s="75"/>
      <c r="AC398" s="75"/>
      <c r="AD398" s="75"/>
      <c r="AE398" s="75"/>
      <c r="AF398" s="75"/>
      <c r="AG398" s="75"/>
      <c r="AH398" s="75"/>
      <c r="AI398" s="75"/>
      <c r="AJ398" s="75"/>
      <c r="AK398" s="75"/>
      <c r="AL398" s="75"/>
      <c r="AM398" s="75"/>
      <c r="AN398" s="75"/>
      <c r="AO398" s="75"/>
      <c r="AP398" s="75"/>
      <c r="AQ398" s="75"/>
      <c r="AR398" s="75"/>
      <c r="AS398" s="75"/>
      <c r="AT398" s="75"/>
      <c r="AU398" s="75"/>
    </row>
    <row r="399" spans="1:47" x14ac:dyDescent="0.2">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5"/>
      <c r="AH399" s="75"/>
      <c r="AI399" s="75"/>
      <c r="AJ399" s="75"/>
      <c r="AK399" s="75"/>
      <c r="AL399" s="75"/>
      <c r="AM399" s="75"/>
      <c r="AN399" s="75"/>
      <c r="AO399" s="75"/>
      <c r="AP399" s="75"/>
      <c r="AQ399" s="75"/>
      <c r="AR399" s="75"/>
      <c r="AS399" s="75"/>
      <c r="AT399" s="75"/>
      <c r="AU399" s="75"/>
    </row>
    <row r="400" spans="1:47" x14ac:dyDescent="0.2">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5"/>
      <c r="AH400" s="75"/>
      <c r="AI400" s="75"/>
      <c r="AJ400" s="75"/>
      <c r="AK400" s="75"/>
      <c r="AL400" s="75"/>
      <c r="AM400" s="75"/>
      <c r="AN400" s="75"/>
      <c r="AO400" s="75"/>
      <c r="AP400" s="75"/>
      <c r="AQ400" s="75"/>
      <c r="AR400" s="75"/>
      <c r="AS400" s="75"/>
      <c r="AT400" s="75"/>
      <c r="AU400" s="75"/>
    </row>
    <row r="401" spans="1:47" x14ac:dyDescent="0.2">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c r="AA401" s="75"/>
      <c r="AB401" s="75"/>
      <c r="AC401" s="75"/>
      <c r="AD401" s="75"/>
      <c r="AE401" s="75"/>
      <c r="AF401" s="75"/>
      <c r="AG401" s="75"/>
      <c r="AH401" s="75"/>
      <c r="AI401" s="75"/>
      <c r="AJ401" s="75"/>
      <c r="AK401" s="75"/>
      <c r="AL401" s="75"/>
      <c r="AM401" s="75"/>
      <c r="AN401" s="75"/>
      <c r="AO401" s="75"/>
      <c r="AP401" s="75"/>
      <c r="AQ401" s="75"/>
      <c r="AR401" s="75"/>
      <c r="AS401" s="75"/>
      <c r="AT401" s="75"/>
      <c r="AU401" s="75"/>
    </row>
    <row r="402" spans="1:47" x14ac:dyDescent="0.2">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c r="AA402" s="75"/>
      <c r="AB402" s="75"/>
      <c r="AC402" s="75"/>
      <c r="AD402" s="75"/>
      <c r="AE402" s="75"/>
      <c r="AF402" s="75"/>
      <c r="AG402" s="75"/>
      <c r="AH402" s="75"/>
      <c r="AI402" s="75"/>
      <c r="AJ402" s="75"/>
      <c r="AK402" s="75"/>
      <c r="AL402" s="75"/>
      <c r="AM402" s="75"/>
      <c r="AN402" s="75"/>
      <c r="AO402" s="75"/>
      <c r="AP402" s="75"/>
      <c r="AQ402" s="75"/>
      <c r="AR402" s="75"/>
      <c r="AS402" s="75"/>
      <c r="AT402" s="75"/>
      <c r="AU402" s="75"/>
    </row>
    <row r="403" spans="1:47" x14ac:dyDescent="0.2">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c r="AA403" s="75"/>
      <c r="AB403" s="75"/>
      <c r="AC403" s="75"/>
      <c r="AD403" s="75"/>
      <c r="AE403" s="75"/>
      <c r="AF403" s="75"/>
      <c r="AG403" s="75"/>
      <c r="AH403" s="75"/>
      <c r="AI403" s="75"/>
      <c r="AJ403" s="75"/>
      <c r="AK403" s="75"/>
      <c r="AL403" s="75"/>
      <c r="AM403" s="75"/>
      <c r="AN403" s="75"/>
      <c r="AO403" s="75"/>
      <c r="AP403" s="75"/>
      <c r="AQ403" s="75"/>
      <c r="AR403" s="75"/>
      <c r="AS403" s="75"/>
      <c r="AT403" s="75"/>
      <c r="AU403" s="75"/>
    </row>
    <row r="404" spans="1:47" x14ac:dyDescent="0.2">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5"/>
      <c r="AH404" s="75"/>
      <c r="AI404" s="75"/>
      <c r="AJ404" s="75"/>
      <c r="AK404" s="75"/>
      <c r="AL404" s="75"/>
      <c r="AM404" s="75"/>
      <c r="AN404" s="75"/>
      <c r="AO404" s="75"/>
      <c r="AP404" s="75"/>
      <c r="AQ404" s="75"/>
      <c r="AR404" s="75"/>
      <c r="AS404" s="75"/>
      <c r="AT404" s="75"/>
      <c r="AU404" s="75"/>
    </row>
    <row r="405" spans="1:47" x14ac:dyDescent="0.2">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5"/>
      <c r="AH405" s="75"/>
      <c r="AI405" s="75"/>
      <c r="AJ405" s="75"/>
      <c r="AK405" s="75"/>
      <c r="AL405" s="75"/>
      <c r="AM405" s="75"/>
      <c r="AN405" s="75"/>
      <c r="AO405" s="75"/>
      <c r="AP405" s="75"/>
      <c r="AQ405" s="75"/>
      <c r="AR405" s="75"/>
      <c r="AS405" s="75"/>
      <c r="AT405" s="75"/>
      <c r="AU405" s="75"/>
    </row>
    <row r="406" spans="1:47" x14ac:dyDescent="0.2">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c r="AA406" s="75"/>
      <c r="AB406" s="75"/>
      <c r="AC406" s="75"/>
      <c r="AD406" s="75"/>
      <c r="AE406" s="75"/>
      <c r="AF406" s="75"/>
      <c r="AG406" s="75"/>
      <c r="AH406" s="75"/>
      <c r="AI406" s="75"/>
      <c r="AJ406" s="75"/>
      <c r="AK406" s="75"/>
      <c r="AL406" s="75"/>
      <c r="AM406" s="75"/>
      <c r="AN406" s="75"/>
      <c r="AO406" s="75"/>
      <c r="AP406" s="75"/>
      <c r="AQ406" s="75"/>
      <c r="AR406" s="75"/>
      <c r="AS406" s="75"/>
      <c r="AT406" s="75"/>
      <c r="AU406" s="75"/>
    </row>
    <row r="407" spans="1:47" x14ac:dyDescent="0.2">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c r="AA407" s="75"/>
      <c r="AB407" s="75"/>
      <c r="AC407" s="75"/>
      <c r="AD407" s="75"/>
      <c r="AE407" s="75"/>
      <c r="AF407" s="75"/>
      <c r="AG407" s="75"/>
      <c r="AH407" s="75"/>
      <c r="AI407" s="75"/>
      <c r="AJ407" s="75"/>
      <c r="AK407" s="75"/>
      <c r="AL407" s="75"/>
      <c r="AM407" s="75"/>
      <c r="AN407" s="75"/>
      <c r="AO407" s="75"/>
      <c r="AP407" s="75"/>
      <c r="AQ407" s="75"/>
      <c r="AR407" s="75"/>
      <c r="AS407" s="75"/>
      <c r="AT407" s="75"/>
      <c r="AU407" s="75"/>
    </row>
    <row r="408" spans="1:47" x14ac:dyDescent="0.2">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c r="AA408" s="75"/>
      <c r="AB408" s="75"/>
      <c r="AC408" s="75"/>
      <c r="AD408" s="75"/>
      <c r="AE408" s="75"/>
      <c r="AF408" s="75"/>
      <c r="AG408" s="75"/>
      <c r="AH408" s="75"/>
      <c r="AI408" s="75"/>
      <c r="AJ408" s="75"/>
      <c r="AK408" s="75"/>
      <c r="AL408" s="75"/>
      <c r="AM408" s="75"/>
      <c r="AN408" s="75"/>
      <c r="AO408" s="75"/>
      <c r="AP408" s="75"/>
      <c r="AQ408" s="75"/>
      <c r="AR408" s="75"/>
      <c r="AS408" s="75"/>
      <c r="AT408" s="75"/>
      <c r="AU408" s="75"/>
    </row>
    <row r="409" spans="1:47" x14ac:dyDescent="0.2">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c r="AA409" s="75"/>
      <c r="AB409" s="75"/>
      <c r="AC409" s="75"/>
      <c r="AD409" s="75"/>
      <c r="AE409" s="75"/>
      <c r="AF409" s="75"/>
      <c r="AG409" s="75"/>
      <c r="AH409" s="75"/>
      <c r="AI409" s="75"/>
      <c r="AJ409" s="75"/>
      <c r="AK409" s="75"/>
      <c r="AL409" s="75"/>
      <c r="AM409" s="75"/>
      <c r="AN409" s="75"/>
      <c r="AO409" s="75"/>
      <c r="AP409" s="75"/>
      <c r="AQ409" s="75"/>
      <c r="AR409" s="75"/>
      <c r="AS409" s="75"/>
      <c r="AT409" s="75"/>
      <c r="AU409" s="75"/>
    </row>
    <row r="410" spans="1:47" x14ac:dyDescent="0.2">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c r="AA410" s="75"/>
      <c r="AB410" s="75"/>
      <c r="AC410" s="75"/>
      <c r="AD410" s="75"/>
      <c r="AE410" s="75"/>
      <c r="AF410" s="75"/>
      <c r="AG410" s="75"/>
      <c r="AH410" s="75"/>
      <c r="AI410" s="75"/>
      <c r="AJ410" s="75"/>
      <c r="AK410" s="75"/>
      <c r="AL410" s="75"/>
      <c r="AM410" s="75"/>
      <c r="AN410" s="75"/>
      <c r="AO410" s="75"/>
      <c r="AP410" s="75"/>
      <c r="AQ410" s="75"/>
      <c r="AR410" s="75"/>
      <c r="AS410" s="75"/>
      <c r="AT410" s="75"/>
      <c r="AU410" s="75"/>
    </row>
    <row r="411" spans="1:47" x14ac:dyDescent="0.2">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c r="AA411" s="75"/>
      <c r="AB411" s="75"/>
      <c r="AC411" s="75"/>
      <c r="AD411" s="75"/>
      <c r="AE411" s="75"/>
      <c r="AF411" s="75"/>
      <c r="AG411" s="75"/>
      <c r="AH411" s="75"/>
      <c r="AI411" s="75"/>
      <c r="AJ411" s="75"/>
      <c r="AK411" s="75"/>
      <c r="AL411" s="75"/>
      <c r="AM411" s="75"/>
      <c r="AN411" s="75"/>
      <c r="AO411" s="75"/>
      <c r="AP411" s="75"/>
      <c r="AQ411" s="75"/>
      <c r="AR411" s="75"/>
      <c r="AS411" s="75"/>
      <c r="AT411" s="75"/>
      <c r="AU411" s="75"/>
    </row>
    <row r="412" spans="1:47" x14ac:dyDescent="0.2">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c r="AA412" s="75"/>
      <c r="AB412" s="75"/>
      <c r="AC412" s="75"/>
      <c r="AD412" s="75"/>
      <c r="AE412" s="75"/>
      <c r="AF412" s="75"/>
      <c r="AG412" s="75"/>
      <c r="AH412" s="75"/>
      <c r="AI412" s="75"/>
      <c r="AJ412" s="75"/>
      <c r="AK412" s="75"/>
      <c r="AL412" s="75"/>
      <c r="AM412" s="75"/>
      <c r="AN412" s="75"/>
      <c r="AO412" s="75"/>
      <c r="AP412" s="75"/>
      <c r="AQ412" s="75"/>
      <c r="AR412" s="75"/>
      <c r="AS412" s="75"/>
      <c r="AT412" s="75"/>
      <c r="AU412" s="75"/>
    </row>
    <row r="413" spans="1:47" x14ac:dyDescent="0.2">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c r="AA413" s="75"/>
      <c r="AB413" s="75"/>
      <c r="AC413" s="75"/>
      <c r="AD413" s="75"/>
      <c r="AE413" s="75"/>
      <c r="AF413" s="75"/>
      <c r="AG413" s="75"/>
      <c r="AH413" s="75"/>
      <c r="AI413" s="75"/>
      <c r="AJ413" s="75"/>
      <c r="AK413" s="75"/>
      <c r="AL413" s="75"/>
      <c r="AM413" s="75"/>
      <c r="AN413" s="75"/>
      <c r="AO413" s="75"/>
      <c r="AP413" s="75"/>
      <c r="AQ413" s="75"/>
      <c r="AR413" s="75"/>
      <c r="AS413" s="75"/>
      <c r="AT413" s="75"/>
      <c r="AU413" s="75"/>
    </row>
    <row r="414" spans="1:47" x14ac:dyDescent="0.2">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c r="AA414" s="75"/>
      <c r="AB414" s="75"/>
      <c r="AC414" s="75"/>
      <c r="AD414" s="75"/>
      <c r="AE414" s="75"/>
      <c r="AF414" s="75"/>
      <c r="AG414" s="75"/>
      <c r="AH414" s="75"/>
      <c r="AI414" s="75"/>
      <c r="AJ414" s="75"/>
      <c r="AK414" s="75"/>
      <c r="AL414" s="75"/>
      <c r="AM414" s="75"/>
      <c r="AN414" s="75"/>
      <c r="AO414" s="75"/>
      <c r="AP414" s="75"/>
      <c r="AQ414" s="75"/>
      <c r="AR414" s="75"/>
      <c r="AS414" s="75"/>
      <c r="AT414" s="75"/>
      <c r="AU414" s="75"/>
    </row>
  </sheetData>
  <sheetProtection algorithmName="SHA-512" hashValue="lmmr0RqQ+VOq8DFRibIHOFm1BVHwa+BBtDSlwgwjiK4CSuJgXuOwdKX166pBclGN/Ej0Uznp7UzXL+K4w38+Mw==" saltValue="mtjI5DC0o2qt4Fz4YmJ9FA==" spinCount="100000" sheet="1" objects="1" scenarios="1" selectLockedCells="1"/>
  <mergeCells count="210">
    <mergeCell ref="BN39:BQ39"/>
    <mergeCell ref="BN40:BO40"/>
    <mergeCell ref="BP40:BQ40"/>
    <mergeCell ref="BM43:BM46"/>
    <mergeCell ref="BN43:BQ43"/>
    <mergeCell ref="BN44:BO44"/>
    <mergeCell ref="BP44:BQ44"/>
    <mergeCell ref="BM47:BN47"/>
    <mergeCell ref="BP48:BQ48"/>
    <mergeCell ref="B67:AT69"/>
    <mergeCell ref="AH59:AM59"/>
    <mergeCell ref="CB3:CC3"/>
    <mergeCell ref="CD3:CE3"/>
    <mergeCell ref="CB2:CE2"/>
    <mergeCell ref="CF3:CG3"/>
    <mergeCell ref="CH3:CI3"/>
    <mergeCell ref="CF2:CI2"/>
    <mergeCell ref="AK40:AP40"/>
    <mergeCell ref="AK41:AP41"/>
    <mergeCell ref="AK42:AP42"/>
    <mergeCell ref="BN15:BQ15"/>
    <mergeCell ref="BN16:BO16"/>
    <mergeCell ref="BP16:BQ16"/>
    <mergeCell ref="AO33:AT33"/>
    <mergeCell ref="AO34:AT34"/>
    <mergeCell ref="BN20:BO20"/>
    <mergeCell ref="BP20:BQ20"/>
    <mergeCell ref="BS20:BT20"/>
    <mergeCell ref="BN32:BO32"/>
    <mergeCell ref="BP32:BQ32"/>
    <mergeCell ref="BM39:BM42"/>
    <mergeCell ref="BN35:BQ35"/>
    <mergeCell ref="BN36:BO36"/>
    <mergeCell ref="A1:AU1"/>
    <mergeCell ref="A17:AU17"/>
    <mergeCell ref="A36:AU36"/>
    <mergeCell ref="B21:J21"/>
    <mergeCell ref="AO22:AT22"/>
    <mergeCell ref="AO23:AT23"/>
    <mergeCell ref="AO24:AT24"/>
    <mergeCell ref="AO27:AT27"/>
    <mergeCell ref="B22:G24"/>
    <mergeCell ref="B25:G27"/>
    <mergeCell ref="H25:J25"/>
    <mergeCell ref="H26:J26"/>
    <mergeCell ref="H27:J27"/>
    <mergeCell ref="O21:R21"/>
    <mergeCell ref="S21:V21"/>
    <mergeCell ref="W21:Z21"/>
    <mergeCell ref="H22:J22"/>
    <mergeCell ref="H23:J23"/>
    <mergeCell ref="H24:J24"/>
    <mergeCell ref="O22:R22"/>
    <mergeCell ref="O23:R23"/>
    <mergeCell ref="AL12:AR12"/>
    <mergeCell ref="N12:W12"/>
    <mergeCell ref="S23:V23"/>
    <mergeCell ref="BP36:BQ36"/>
    <mergeCell ref="N3:W3"/>
    <mergeCell ref="AH3:AR3"/>
    <mergeCell ref="N4:W4"/>
    <mergeCell ref="AH4:AR4"/>
    <mergeCell ref="N5:W5"/>
    <mergeCell ref="AH5:AR5"/>
    <mergeCell ref="AH6:AR6"/>
    <mergeCell ref="N8:AR9"/>
    <mergeCell ref="N11:W11"/>
    <mergeCell ref="BM35:BM38"/>
    <mergeCell ref="K22:N22"/>
    <mergeCell ref="K23:N23"/>
    <mergeCell ref="K24:N24"/>
    <mergeCell ref="K25:N25"/>
    <mergeCell ref="O25:R25"/>
    <mergeCell ref="O26:R26"/>
    <mergeCell ref="O27:R27"/>
    <mergeCell ref="K26:N26"/>
    <mergeCell ref="BM31:BM34"/>
    <mergeCell ref="AL15:AR15"/>
    <mergeCell ref="Z15:AK15"/>
    <mergeCell ref="W32:Z32"/>
    <mergeCell ref="S24:V24"/>
    <mergeCell ref="N13:W13"/>
    <mergeCell ref="N14:W14"/>
    <mergeCell ref="N15:W15"/>
    <mergeCell ref="W25:Z25"/>
    <mergeCell ref="S26:V26"/>
    <mergeCell ref="W26:Z26"/>
    <mergeCell ref="S27:V27"/>
    <mergeCell ref="W27:Z27"/>
    <mergeCell ref="W24:Z24"/>
    <mergeCell ref="BM15:BM18"/>
    <mergeCell ref="BM19:BM22"/>
    <mergeCell ref="BM23:BM26"/>
    <mergeCell ref="BM27:BM30"/>
    <mergeCell ref="BE1:BL1"/>
    <mergeCell ref="AL11:AR11"/>
    <mergeCell ref="BM1:BV1"/>
    <mergeCell ref="BR15:BR18"/>
    <mergeCell ref="BR19:BR22"/>
    <mergeCell ref="BR23:BR26"/>
    <mergeCell ref="BR27:BR30"/>
    <mergeCell ref="BM2:BM3"/>
    <mergeCell ref="BM8:BM9"/>
    <mergeCell ref="B19:AT19"/>
    <mergeCell ref="B29:AT29"/>
    <mergeCell ref="BS15:BV15"/>
    <mergeCell ref="BS16:BT16"/>
    <mergeCell ref="BU16:BV16"/>
    <mergeCell ref="BE6:BI6"/>
    <mergeCell ref="BE5:BI5"/>
    <mergeCell ref="BE4:BI4"/>
    <mergeCell ref="BE3:BI3"/>
    <mergeCell ref="BE2:BJ2"/>
    <mergeCell ref="BN23:BQ23"/>
    <mergeCell ref="BS23:BV23"/>
    <mergeCell ref="BN24:BO24"/>
    <mergeCell ref="BP24:BQ24"/>
    <mergeCell ref="BS24:BT24"/>
    <mergeCell ref="BN19:BQ19"/>
    <mergeCell ref="BS19:BV19"/>
    <mergeCell ref="N46:T46"/>
    <mergeCell ref="N48:T48"/>
    <mergeCell ref="N47:T47"/>
    <mergeCell ref="M40:R40"/>
    <mergeCell ref="M41:R41"/>
    <mergeCell ref="M42:R42"/>
    <mergeCell ref="BU20:BV20"/>
    <mergeCell ref="BN31:BQ31"/>
    <mergeCell ref="K27:N27"/>
    <mergeCell ref="O24:R24"/>
    <mergeCell ref="K21:N21"/>
    <mergeCell ref="BU24:BV24"/>
    <mergeCell ref="BN27:BQ27"/>
    <mergeCell ref="BS27:BV27"/>
    <mergeCell ref="BN28:BO28"/>
    <mergeCell ref="BP28:BQ28"/>
    <mergeCell ref="BS28:BT28"/>
    <mergeCell ref="BU28:BV28"/>
    <mergeCell ref="O33:R33"/>
    <mergeCell ref="S33:V33"/>
    <mergeCell ref="W33:Z33"/>
    <mergeCell ref="W22:Z22"/>
    <mergeCell ref="W23:Z23"/>
    <mergeCell ref="S22:V22"/>
    <mergeCell ref="AJ56:AM56"/>
    <mergeCell ref="P57:S57"/>
    <mergeCell ref="T57:W57"/>
    <mergeCell ref="X57:AA57"/>
    <mergeCell ref="AB57:AE57"/>
    <mergeCell ref="AF57:AI57"/>
    <mergeCell ref="AJ57:AM57"/>
    <mergeCell ref="A44:AU44"/>
    <mergeCell ref="I52:O55"/>
    <mergeCell ref="P55:S55"/>
    <mergeCell ref="T55:W55"/>
    <mergeCell ref="X55:AA55"/>
    <mergeCell ref="AB55:AE55"/>
    <mergeCell ref="AF55:AI55"/>
    <mergeCell ref="AJ55:AM55"/>
    <mergeCell ref="P54:AM54"/>
    <mergeCell ref="P52:AM52"/>
    <mergeCell ref="S25:V25"/>
    <mergeCell ref="B66:M66"/>
    <mergeCell ref="K31:N31"/>
    <mergeCell ref="O31:R31"/>
    <mergeCell ref="S31:V31"/>
    <mergeCell ref="W31:Z31"/>
    <mergeCell ref="B31:J31"/>
    <mergeCell ref="H33:J33"/>
    <mergeCell ref="H34:J34"/>
    <mergeCell ref="K34:N34"/>
    <mergeCell ref="O34:R34"/>
    <mergeCell ref="S34:V34"/>
    <mergeCell ref="W34:Z34"/>
    <mergeCell ref="S32:V32"/>
    <mergeCell ref="B38:V38"/>
    <mergeCell ref="Z38:AT38"/>
    <mergeCell ref="I51:AM51"/>
    <mergeCell ref="I56:O56"/>
    <mergeCell ref="I57:O57"/>
    <mergeCell ref="C42:L42"/>
    <mergeCell ref="B32:G34"/>
    <mergeCell ref="H32:J32"/>
    <mergeCell ref="K32:N32"/>
    <mergeCell ref="O32:R32"/>
    <mergeCell ref="AF53:AM53"/>
    <mergeCell ref="CK2:CM2"/>
    <mergeCell ref="BW1:CM1"/>
    <mergeCell ref="CA2:CA3"/>
    <mergeCell ref="R65:AM65"/>
    <mergeCell ref="AH60:AM60"/>
    <mergeCell ref="AH61:AM61"/>
    <mergeCell ref="AH62:AM62"/>
    <mergeCell ref="BW2:BX2"/>
    <mergeCell ref="BY2:BZ2"/>
    <mergeCell ref="BY8:BZ8"/>
    <mergeCell ref="P56:S56"/>
    <mergeCell ref="T56:W56"/>
    <mergeCell ref="X56:AA56"/>
    <mergeCell ref="AB56:AE56"/>
    <mergeCell ref="AF56:AI56"/>
    <mergeCell ref="BE35:BH35"/>
    <mergeCell ref="BE46:BH46"/>
    <mergeCell ref="P53:W53"/>
    <mergeCell ref="AL14:AR14"/>
    <mergeCell ref="X53:AE53"/>
    <mergeCell ref="N49:T49"/>
    <mergeCell ref="AG49:AM49"/>
    <mergeCell ref="R64:AM64"/>
    <mergeCell ref="K33:N33"/>
  </mergeCells>
  <conditionalFormatting sqref="P56:S56">
    <cfRule type="expression" dxfId="11" priority="13">
      <formula>OR($CB$4&gt;0,$CB$5&gt;0,$CB$6&gt;0,$CB$7&gt;0,$CB$8&gt;0)</formula>
    </cfRule>
  </conditionalFormatting>
  <conditionalFormatting sqref="P57:S57">
    <cfRule type="expression" dxfId="10" priority="12">
      <formula>OR($CD$4&gt;0,$CD$5&gt;0,$CD$6&gt;0,$CD$7&gt;0,$CD$8&gt;0)</formula>
    </cfRule>
  </conditionalFormatting>
  <conditionalFormatting sqref="T56">
    <cfRule type="expression" dxfId="9" priority="10">
      <formula>OR($CF$4&gt;0,$CF$5&gt;0,$CF$6&gt;0,$CF$7&gt;0,$CF$8&gt;0)</formula>
    </cfRule>
  </conditionalFormatting>
  <conditionalFormatting sqref="T57:W57">
    <cfRule type="expression" dxfId="8" priority="9">
      <formula>OR($CH$4&gt;0,$CH$5&gt;0,$CH$6&gt;0,$CH$7&gt;0,$CH$8&gt;0)</formula>
    </cfRule>
  </conditionalFormatting>
  <conditionalFormatting sqref="X56:AA56">
    <cfRule type="expression" dxfId="7" priority="8">
      <formula>OR($CB$9&gt;0,$CB$10&gt;0,$CC$9&gt;0,$CC$10&gt;0)</formula>
    </cfRule>
  </conditionalFormatting>
  <conditionalFormatting sqref="X57:AA57">
    <cfRule type="expression" dxfId="6" priority="7">
      <formula>OR($CD$9&gt;0,$CD$10&gt;0)</formula>
    </cfRule>
  </conditionalFormatting>
  <conditionalFormatting sqref="AB56:AE56">
    <cfRule type="expression" dxfId="5" priority="6">
      <formula>OR($CF$9&gt;0,$CF$10&gt;0,$CG$9&gt;0,$CG$10&gt;0)</formula>
    </cfRule>
  </conditionalFormatting>
  <conditionalFormatting sqref="AB57:AE57">
    <cfRule type="expression" dxfId="4" priority="5">
      <formula>OR($CH$9&gt;0,$CH$10&gt;0)</formula>
    </cfRule>
  </conditionalFormatting>
  <conditionalFormatting sqref="AF56:AI56">
    <cfRule type="expression" dxfId="3" priority="4">
      <formula>OR($CB$11&gt;0,$CB$12&gt;0,$CB$13&gt;0,$CC$11&gt;0,$CC$12&gt;0,$CC$13&gt;0)</formula>
    </cfRule>
  </conditionalFormatting>
  <conditionalFormatting sqref="AF57:AI57">
    <cfRule type="expression" dxfId="2" priority="3">
      <formula>OR($CD$11&gt;0,$CD$12&gt;0,$CD$13&gt;0,$CE$11&gt;0,$CE$12&gt;0,$CE$13&gt;0)</formula>
    </cfRule>
  </conditionalFormatting>
  <conditionalFormatting sqref="AJ56:AM56">
    <cfRule type="expression" dxfId="1" priority="2">
      <formula>OR($CF$11&gt;0,$CF$12&gt;0,$CF$13&gt;0,$CG$11&gt;0,$CG$12&gt;0,$CG$13&gt;0)</formula>
    </cfRule>
  </conditionalFormatting>
  <conditionalFormatting sqref="AJ57:AM57">
    <cfRule type="expression" dxfId="0" priority="1">
      <formula>OR($CH$11&gt;0,$CH$12&gt;0,$CH$13&gt;0)</formula>
    </cfRule>
  </conditionalFormatting>
  <dataValidations count="14">
    <dataValidation type="list" allowBlank="1" showInputMessage="1" showErrorMessage="1" promptTitle="NOTICE" prompt="If the number of cycles per hour are known, choose &quot;Known&quot; and then type in the known cycles per hour below. If the number of cycles per hour are unknown, assume &quot;60&quot; for unsignalized or 2 phase, &quot;40&quot; for 3 phase, and &quot;30&quot; for 4 or more phases." sqref="N48:T48">
      <formula1>cycles2</formula1>
    </dataValidation>
    <dataValidation type="list" allowBlank="1" showInputMessage="1" showErrorMessage="1" sqref="AL15">
      <formula1>lane</formula1>
    </dataValidation>
    <dataValidation type="list" allowBlank="1" showInputMessage="1" showErrorMessage="1" sqref="F30">
      <formula1>#REF!</formula1>
    </dataValidation>
    <dataValidation type="list" allowBlank="1" showInputMessage="1" showErrorMessage="1" sqref="N4:W4">
      <formula1>counties</formula1>
    </dataValidation>
    <dataValidation type="list" allowBlank="1" showInputMessage="1" showErrorMessage="1" sqref="N5">
      <formula1>districts</formula1>
    </dataValidation>
    <dataValidation type="list" allowBlank="1" showInputMessage="1" showErrorMessage="1" sqref="N13:W13">
      <formula1>intcontrol</formula1>
    </dataValidation>
    <dataValidation type="list" allowBlank="1" showInputMessage="1" showErrorMessage="1" sqref="N14:W14">
      <formula1>speedlimit1</formula1>
    </dataValidation>
    <dataValidation type="list" allowBlank="1" showInputMessage="1" showErrorMessage="1" sqref="N15:W15">
      <formula1>terrain</formula1>
    </dataValidation>
    <dataValidation type="list" allowBlank="1" showInputMessage="1" showErrorMessage="1" sqref="K22:N22 K27:N28 K32:N32 K24:N25">
      <formula1>decision</formula1>
    </dataValidation>
    <dataValidation type="list" allowBlank="1" showInputMessage="1" showErrorMessage="1" sqref="AL11:AR11">
      <formula1>approach</formula1>
    </dataValidation>
    <dataValidation type="list" allowBlank="1" showInputMessage="1" showErrorMessage="1" sqref="AL12:AR12">
      <formula1>divided2</formula1>
    </dataValidation>
    <dataValidation allowBlank="1" showErrorMessage="1" promptTitle="NOTICE" prompt="This cell is to be used if Figure 7 or 8 is necessary to determine if a left turn lane is warranted or not." sqref="S42:V42"/>
    <dataValidation type="decimal" operator="greaterThan" allowBlank="1" showInputMessage="1" showErrorMessage="1" sqref="S23:V27">
      <formula1>-0.1</formula1>
    </dataValidation>
    <dataValidation operator="greaterThan" allowBlank="1" showInputMessage="1" showErrorMessage="1" sqref="S22:V22"/>
  </dataValidations>
  <printOptions horizontalCentered="1" verticalCentered="1"/>
  <pageMargins left="0.7" right="0.7" top="0.75" bottom="0.75" header="0.3" footer="0.3"/>
  <pageSetup scale="68" orientation="portrait" r:id="rId1"/>
  <headerFooter>
    <oddHeader>&amp;C&amp;"Arial,Bold"&amp;14Turn Lane Warrant and Length Analysis
Workbook</oddHeader>
    <oddFooter>&amp;L&amp;G&amp;C&amp;D&amp;R&amp;F</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39997558519241921"/>
  </sheetPr>
  <dimension ref="A1:AM376"/>
  <sheetViews>
    <sheetView topLeftCell="A79" zoomScaleNormal="100" workbookViewId="0">
      <selection activeCell="P41" sqref="P41"/>
    </sheetView>
  </sheetViews>
  <sheetFormatPr defaultRowHeight="12.75" x14ac:dyDescent="0.2"/>
  <cols>
    <col min="1" max="1" width="8.42578125" bestFit="1" customWidth="1"/>
    <col min="2" max="2" width="8.85546875" bestFit="1" customWidth="1"/>
  </cols>
  <sheetData>
    <row r="1" spans="1:39" x14ac:dyDescent="0.2">
      <c r="A1" s="378" t="s">
        <v>0</v>
      </c>
      <c r="B1" s="378"/>
      <c r="C1" s="378"/>
      <c r="E1" s="377" t="s">
        <v>1</v>
      </c>
      <c r="F1" s="377"/>
      <c r="G1" s="377"/>
      <c r="I1" s="377" t="s">
        <v>2</v>
      </c>
      <c r="J1" s="377"/>
      <c r="K1" s="377"/>
      <c r="M1" s="377" t="s">
        <v>3</v>
      </c>
      <c r="N1" s="377"/>
      <c r="O1" s="377"/>
      <c r="Q1" s="377" t="s">
        <v>4</v>
      </c>
      <c r="R1" s="377"/>
      <c r="S1" s="377"/>
      <c r="U1" s="377" t="s">
        <v>5</v>
      </c>
      <c r="V1" s="377"/>
      <c r="W1" s="377"/>
      <c r="Y1" s="377" t="s">
        <v>35</v>
      </c>
      <c r="Z1" s="377"/>
      <c r="AA1" s="377"/>
      <c r="AC1" s="377" t="s">
        <v>36</v>
      </c>
      <c r="AD1" s="377"/>
      <c r="AE1" s="377"/>
      <c r="AG1" s="377" t="s">
        <v>37</v>
      </c>
      <c r="AH1" s="377"/>
      <c r="AI1" s="377"/>
      <c r="AK1" s="377" t="s">
        <v>38</v>
      </c>
      <c r="AL1" s="377"/>
      <c r="AM1" s="377"/>
    </row>
    <row r="2" spans="1:39" x14ac:dyDescent="0.2">
      <c r="A2">
        <v>707</v>
      </c>
      <c r="B2">
        <v>100</v>
      </c>
      <c r="E2">
        <v>514</v>
      </c>
      <c r="F2">
        <v>100</v>
      </c>
      <c r="I2">
        <v>432</v>
      </c>
      <c r="J2">
        <v>100</v>
      </c>
      <c r="M2">
        <v>385</v>
      </c>
      <c r="N2">
        <v>100</v>
      </c>
      <c r="Q2">
        <v>336</v>
      </c>
      <c r="R2">
        <v>100</v>
      </c>
      <c r="U2">
        <v>315</v>
      </c>
      <c r="V2">
        <v>100</v>
      </c>
      <c r="Y2">
        <v>787</v>
      </c>
      <c r="Z2">
        <v>100</v>
      </c>
      <c r="AC2">
        <v>904</v>
      </c>
      <c r="AD2">
        <v>100</v>
      </c>
      <c r="AG2">
        <v>1101</v>
      </c>
      <c r="AH2">
        <v>100</v>
      </c>
      <c r="AK2">
        <v>1549</v>
      </c>
      <c r="AL2">
        <v>100</v>
      </c>
    </row>
    <row r="3" spans="1:39" x14ac:dyDescent="0.2">
      <c r="A3">
        <v>687</v>
      </c>
      <c r="B3">
        <v>125</v>
      </c>
      <c r="E3">
        <v>499</v>
      </c>
      <c r="F3">
        <v>125</v>
      </c>
      <c r="I3">
        <v>419</v>
      </c>
      <c r="J3">
        <v>125</v>
      </c>
      <c r="M3">
        <v>374</v>
      </c>
      <c r="N3">
        <v>125</v>
      </c>
      <c r="Q3">
        <v>327</v>
      </c>
      <c r="R3">
        <v>125</v>
      </c>
      <c r="U3">
        <v>306</v>
      </c>
      <c r="V3">
        <v>125</v>
      </c>
      <c r="Y3">
        <v>764</v>
      </c>
      <c r="Z3">
        <v>125</v>
      </c>
      <c r="AC3">
        <v>877</v>
      </c>
      <c r="AD3">
        <v>125</v>
      </c>
      <c r="AG3">
        <v>1069</v>
      </c>
      <c r="AH3">
        <v>125</v>
      </c>
      <c r="AK3">
        <v>1504</v>
      </c>
      <c r="AL3">
        <v>125</v>
      </c>
    </row>
    <row r="4" spans="1:39" x14ac:dyDescent="0.2">
      <c r="A4">
        <v>667</v>
      </c>
      <c r="B4">
        <v>150</v>
      </c>
      <c r="E4">
        <v>485</v>
      </c>
      <c r="F4">
        <v>150</v>
      </c>
      <c r="I4">
        <v>407</v>
      </c>
      <c r="J4">
        <v>150</v>
      </c>
      <c r="M4">
        <v>363</v>
      </c>
      <c r="N4">
        <v>150</v>
      </c>
      <c r="Q4">
        <v>317</v>
      </c>
      <c r="R4">
        <v>150</v>
      </c>
      <c r="U4">
        <v>297</v>
      </c>
      <c r="V4">
        <v>150</v>
      </c>
      <c r="Y4">
        <v>742</v>
      </c>
      <c r="Z4">
        <v>150</v>
      </c>
      <c r="AC4">
        <v>852</v>
      </c>
      <c r="AD4">
        <v>150</v>
      </c>
      <c r="AG4">
        <v>1038</v>
      </c>
      <c r="AH4">
        <v>150</v>
      </c>
      <c r="AK4">
        <v>1461</v>
      </c>
      <c r="AL4">
        <v>150</v>
      </c>
    </row>
    <row r="5" spans="1:39" x14ac:dyDescent="0.2">
      <c r="A5">
        <v>648</v>
      </c>
      <c r="B5">
        <v>175</v>
      </c>
      <c r="E5">
        <v>471</v>
      </c>
      <c r="F5">
        <v>175</v>
      </c>
      <c r="I5">
        <v>396</v>
      </c>
      <c r="J5">
        <v>175</v>
      </c>
      <c r="M5">
        <v>353</v>
      </c>
      <c r="N5">
        <v>175</v>
      </c>
      <c r="Q5">
        <v>308</v>
      </c>
      <c r="R5">
        <v>175</v>
      </c>
      <c r="U5">
        <v>288</v>
      </c>
      <c r="V5">
        <v>175</v>
      </c>
      <c r="Y5">
        <v>721</v>
      </c>
      <c r="Z5">
        <v>175</v>
      </c>
      <c r="AC5">
        <v>828</v>
      </c>
      <c r="AD5">
        <v>175</v>
      </c>
      <c r="AG5">
        <v>1009</v>
      </c>
      <c r="AH5">
        <v>175</v>
      </c>
      <c r="AK5">
        <v>1420</v>
      </c>
      <c r="AL5">
        <v>175</v>
      </c>
    </row>
    <row r="6" spans="1:39" x14ac:dyDescent="0.2">
      <c r="A6">
        <v>630</v>
      </c>
      <c r="B6">
        <v>200</v>
      </c>
      <c r="E6">
        <v>458</v>
      </c>
      <c r="F6">
        <v>200</v>
      </c>
      <c r="I6">
        <v>385</v>
      </c>
      <c r="J6">
        <v>200</v>
      </c>
      <c r="M6">
        <v>343</v>
      </c>
      <c r="N6">
        <v>200</v>
      </c>
      <c r="Q6">
        <v>300</v>
      </c>
      <c r="R6">
        <v>200</v>
      </c>
      <c r="U6">
        <v>280</v>
      </c>
      <c r="V6">
        <v>200</v>
      </c>
      <c r="Y6">
        <v>701</v>
      </c>
      <c r="Z6">
        <v>200</v>
      </c>
      <c r="AC6">
        <v>805</v>
      </c>
      <c r="AD6">
        <v>200</v>
      </c>
      <c r="AG6">
        <v>981</v>
      </c>
      <c r="AH6">
        <v>200</v>
      </c>
      <c r="AK6">
        <v>1380</v>
      </c>
      <c r="AL6">
        <v>200</v>
      </c>
    </row>
    <row r="7" spans="1:39" x14ac:dyDescent="0.2">
      <c r="A7">
        <v>612</v>
      </c>
      <c r="B7">
        <v>225</v>
      </c>
      <c r="E7">
        <v>445</v>
      </c>
      <c r="F7">
        <v>225</v>
      </c>
      <c r="I7">
        <v>374</v>
      </c>
      <c r="J7">
        <v>225</v>
      </c>
      <c r="M7">
        <v>334</v>
      </c>
      <c r="N7">
        <v>225</v>
      </c>
      <c r="Q7">
        <v>291</v>
      </c>
      <c r="R7">
        <v>225</v>
      </c>
      <c r="U7">
        <v>272</v>
      </c>
      <c r="V7">
        <v>225</v>
      </c>
      <c r="Y7">
        <v>681</v>
      </c>
      <c r="Z7">
        <v>225</v>
      </c>
      <c r="AC7">
        <v>783</v>
      </c>
      <c r="AD7">
        <v>225</v>
      </c>
      <c r="AG7">
        <v>954</v>
      </c>
      <c r="AH7">
        <v>225</v>
      </c>
      <c r="AK7">
        <v>1342</v>
      </c>
      <c r="AL7">
        <v>225</v>
      </c>
    </row>
    <row r="8" spans="1:39" x14ac:dyDescent="0.2">
      <c r="A8">
        <v>596</v>
      </c>
      <c r="B8">
        <v>250</v>
      </c>
      <c r="E8">
        <v>433</v>
      </c>
      <c r="F8">
        <v>250</v>
      </c>
      <c r="I8">
        <v>364</v>
      </c>
      <c r="J8">
        <v>250</v>
      </c>
      <c r="M8">
        <v>325</v>
      </c>
      <c r="N8">
        <v>250</v>
      </c>
      <c r="Q8">
        <v>283</v>
      </c>
      <c r="R8">
        <v>250</v>
      </c>
      <c r="U8">
        <v>265</v>
      </c>
      <c r="V8">
        <v>250</v>
      </c>
      <c r="Y8">
        <v>662</v>
      </c>
      <c r="Z8">
        <v>250</v>
      </c>
      <c r="AC8">
        <v>761</v>
      </c>
      <c r="AD8">
        <v>250</v>
      </c>
      <c r="AG8">
        <v>927</v>
      </c>
      <c r="AH8">
        <v>250</v>
      </c>
      <c r="AK8">
        <v>1305</v>
      </c>
      <c r="AL8">
        <v>250</v>
      </c>
    </row>
    <row r="9" spans="1:39" x14ac:dyDescent="0.2">
      <c r="A9">
        <v>579</v>
      </c>
      <c r="B9">
        <v>275</v>
      </c>
      <c r="E9">
        <v>421</v>
      </c>
      <c r="F9">
        <v>275</v>
      </c>
      <c r="I9">
        <v>354</v>
      </c>
      <c r="J9">
        <v>275</v>
      </c>
      <c r="M9">
        <v>316</v>
      </c>
      <c r="N9">
        <v>275</v>
      </c>
      <c r="Q9">
        <v>276</v>
      </c>
      <c r="R9">
        <v>275</v>
      </c>
      <c r="U9">
        <v>258</v>
      </c>
      <c r="V9">
        <v>275</v>
      </c>
      <c r="Y9">
        <v>644</v>
      </c>
      <c r="Z9">
        <v>275</v>
      </c>
      <c r="AC9">
        <v>740</v>
      </c>
      <c r="AD9">
        <v>275</v>
      </c>
      <c r="AG9">
        <v>902</v>
      </c>
      <c r="AH9">
        <v>275</v>
      </c>
      <c r="AK9">
        <v>1269</v>
      </c>
      <c r="AL9">
        <v>275</v>
      </c>
    </row>
    <row r="10" spans="1:39" x14ac:dyDescent="0.2">
      <c r="A10">
        <v>564</v>
      </c>
      <c r="B10">
        <v>300</v>
      </c>
      <c r="E10">
        <v>410</v>
      </c>
      <c r="F10">
        <v>300</v>
      </c>
      <c r="I10">
        <v>344</v>
      </c>
      <c r="J10">
        <v>300</v>
      </c>
      <c r="M10">
        <v>307</v>
      </c>
      <c r="N10">
        <v>300</v>
      </c>
      <c r="Q10">
        <v>268</v>
      </c>
      <c r="R10">
        <v>300</v>
      </c>
      <c r="U10">
        <v>251</v>
      </c>
      <c r="V10">
        <v>300</v>
      </c>
      <c r="Y10">
        <v>627</v>
      </c>
      <c r="Z10">
        <v>300</v>
      </c>
      <c r="AC10">
        <v>720</v>
      </c>
      <c r="AD10">
        <v>300</v>
      </c>
      <c r="AG10">
        <v>878</v>
      </c>
      <c r="AH10">
        <v>300</v>
      </c>
      <c r="AK10">
        <v>1235</v>
      </c>
      <c r="AL10">
        <v>300</v>
      </c>
    </row>
    <row r="11" spans="1:39" x14ac:dyDescent="0.2">
      <c r="A11">
        <v>549</v>
      </c>
      <c r="B11">
        <v>325</v>
      </c>
      <c r="E11">
        <v>399</v>
      </c>
      <c r="F11">
        <v>325</v>
      </c>
      <c r="I11">
        <v>335</v>
      </c>
      <c r="J11">
        <v>325</v>
      </c>
      <c r="M11">
        <v>299</v>
      </c>
      <c r="N11">
        <v>325</v>
      </c>
      <c r="Q11">
        <v>261</v>
      </c>
      <c r="R11">
        <v>325</v>
      </c>
      <c r="U11">
        <v>244</v>
      </c>
      <c r="V11">
        <v>325</v>
      </c>
      <c r="Y11">
        <v>610</v>
      </c>
      <c r="Z11">
        <v>325</v>
      </c>
      <c r="AC11">
        <v>701</v>
      </c>
      <c r="AD11">
        <v>325</v>
      </c>
      <c r="AG11">
        <v>854</v>
      </c>
      <c r="AH11">
        <v>325</v>
      </c>
      <c r="AK11">
        <v>1202</v>
      </c>
      <c r="AL11">
        <v>325</v>
      </c>
    </row>
    <row r="12" spans="1:39" x14ac:dyDescent="0.2">
      <c r="A12">
        <v>534</v>
      </c>
      <c r="B12">
        <v>350</v>
      </c>
      <c r="E12">
        <v>388</v>
      </c>
      <c r="F12">
        <v>350</v>
      </c>
      <c r="I12">
        <v>326</v>
      </c>
      <c r="J12">
        <v>350</v>
      </c>
      <c r="M12">
        <v>291</v>
      </c>
      <c r="N12">
        <v>350</v>
      </c>
      <c r="Q12">
        <v>254</v>
      </c>
      <c r="R12">
        <v>350</v>
      </c>
      <c r="U12">
        <v>238</v>
      </c>
      <c r="V12">
        <v>350</v>
      </c>
      <c r="Y12">
        <v>594</v>
      </c>
      <c r="Z12">
        <v>350</v>
      </c>
      <c r="AC12">
        <v>682</v>
      </c>
      <c r="AD12">
        <v>350</v>
      </c>
      <c r="AG12">
        <v>831</v>
      </c>
      <c r="AH12">
        <v>350</v>
      </c>
      <c r="AK12">
        <v>1170</v>
      </c>
      <c r="AL12">
        <v>350</v>
      </c>
    </row>
    <row r="13" spans="1:39" x14ac:dyDescent="0.2">
      <c r="A13">
        <v>520</v>
      </c>
      <c r="B13">
        <v>375</v>
      </c>
      <c r="E13">
        <v>378</v>
      </c>
      <c r="F13">
        <v>375</v>
      </c>
      <c r="I13">
        <v>317</v>
      </c>
      <c r="J13">
        <v>375</v>
      </c>
      <c r="M13">
        <v>283</v>
      </c>
      <c r="N13">
        <v>375</v>
      </c>
      <c r="Q13">
        <v>247</v>
      </c>
      <c r="R13">
        <v>375</v>
      </c>
      <c r="U13">
        <v>231</v>
      </c>
      <c r="V13">
        <v>375</v>
      </c>
      <c r="Y13">
        <v>578</v>
      </c>
      <c r="Z13">
        <v>375</v>
      </c>
      <c r="AC13">
        <v>664</v>
      </c>
      <c r="AD13">
        <v>375</v>
      </c>
      <c r="AG13">
        <v>809</v>
      </c>
      <c r="AH13">
        <v>375</v>
      </c>
      <c r="AK13">
        <v>1139</v>
      </c>
      <c r="AL13">
        <v>375</v>
      </c>
    </row>
    <row r="14" spans="1:39" x14ac:dyDescent="0.2">
      <c r="A14">
        <v>506</v>
      </c>
      <c r="B14">
        <v>400</v>
      </c>
      <c r="E14">
        <v>368</v>
      </c>
      <c r="F14">
        <v>400</v>
      </c>
      <c r="I14">
        <v>309</v>
      </c>
      <c r="J14">
        <v>400</v>
      </c>
      <c r="M14">
        <v>276</v>
      </c>
      <c r="N14">
        <v>400</v>
      </c>
      <c r="Q14">
        <v>241</v>
      </c>
      <c r="R14">
        <v>400</v>
      </c>
      <c r="U14">
        <v>225</v>
      </c>
      <c r="V14">
        <v>400</v>
      </c>
      <c r="Y14">
        <v>563</v>
      </c>
      <c r="Z14">
        <v>400</v>
      </c>
      <c r="AC14">
        <v>647</v>
      </c>
      <c r="AD14">
        <v>400</v>
      </c>
      <c r="AG14">
        <v>788</v>
      </c>
      <c r="AH14">
        <v>400</v>
      </c>
      <c r="AK14">
        <v>1109</v>
      </c>
      <c r="AL14">
        <v>400</v>
      </c>
    </row>
    <row r="15" spans="1:39" x14ac:dyDescent="0.2">
      <c r="A15">
        <v>493</v>
      </c>
      <c r="B15">
        <v>425</v>
      </c>
      <c r="E15">
        <v>358</v>
      </c>
      <c r="F15">
        <v>425</v>
      </c>
      <c r="I15">
        <v>301</v>
      </c>
      <c r="J15">
        <v>425</v>
      </c>
      <c r="M15">
        <v>269</v>
      </c>
      <c r="N15">
        <v>425</v>
      </c>
      <c r="Q15">
        <v>235</v>
      </c>
      <c r="R15">
        <v>425</v>
      </c>
      <c r="U15">
        <v>219</v>
      </c>
      <c r="V15">
        <v>425</v>
      </c>
      <c r="Y15">
        <v>548</v>
      </c>
      <c r="Z15">
        <v>425</v>
      </c>
      <c r="AC15">
        <v>630</v>
      </c>
      <c r="AD15">
        <v>425</v>
      </c>
      <c r="AG15">
        <v>768</v>
      </c>
      <c r="AH15">
        <v>425</v>
      </c>
      <c r="AK15">
        <v>1080</v>
      </c>
      <c r="AL15">
        <v>425</v>
      </c>
    </row>
    <row r="16" spans="1:39" x14ac:dyDescent="0.2">
      <c r="A16">
        <v>480</v>
      </c>
      <c r="B16">
        <v>450</v>
      </c>
      <c r="E16">
        <v>349</v>
      </c>
      <c r="F16">
        <v>450</v>
      </c>
      <c r="I16">
        <v>293</v>
      </c>
      <c r="J16">
        <v>450</v>
      </c>
      <c r="M16">
        <v>262</v>
      </c>
      <c r="N16">
        <v>450</v>
      </c>
      <c r="Q16">
        <v>228</v>
      </c>
      <c r="R16">
        <v>450</v>
      </c>
      <c r="U16">
        <v>214</v>
      </c>
      <c r="V16">
        <v>450</v>
      </c>
      <c r="Y16">
        <v>534</v>
      </c>
      <c r="Z16">
        <v>450</v>
      </c>
      <c r="AC16">
        <v>614</v>
      </c>
      <c r="AD16">
        <v>450</v>
      </c>
      <c r="AG16">
        <v>748</v>
      </c>
      <c r="AH16">
        <v>450</v>
      </c>
      <c r="AK16">
        <v>1052</v>
      </c>
      <c r="AL16">
        <v>450</v>
      </c>
    </row>
    <row r="17" spans="1:38" x14ac:dyDescent="0.2">
      <c r="A17">
        <v>468</v>
      </c>
      <c r="B17">
        <v>475</v>
      </c>
      <c r="E17">
        <v>340</v>
      </c>
      <c r="F17">
        <v>475</v>
      </c>
      <c r="I17">
        <v>286</v>
      </c>
      <c r="J17">
        <v>475</v>
      </c>
      <c r="M17">
        <v>255</v>
      </c>
      <c r="N17">
        <v>475</v>
      </c>
      <c r="Q17">
        <v>223</v>
      </c>
      <c r="R17">
        <v>475</v>
      </c>
      <c r="U17">
        <v>208</v>
      </c>
      <c r="V17">
        <v>475</v>
      </c>
      <c r="Y17">
        <v>521</v>
      </c>
      <c r="Z17">
        <v>475</v>
      </c>
      <c r="AC17">
        <v>598</v>
      </c>
      <c r="AD17">
        <v>475</v>
      </c>
      <c r="AG17">
        <v>729</v>
      </c>
      <c r="AH17">
        <v>475</v>
      </c>
      <c r="AK17">
        <v>1025</v>
      </c>
      <c r="AL17">
        <v>475</v>
      </c>
    </row>
    <row r="18" spans="1:38" x14ac:dyDescent="0.2">
      <c r="A18">
        <v>456</v>
      </c>
      <c r="B18">
        <v>500</v>
      </c>
      <c r="E18">
        <v>331</v>
      </c>
      <c r="F18">
        <v>500</v>
      </c>
      <c r="I18">
        <v>278</v>
      </c>
      <c r="J18">
        <v>500</v>
      </c>
      <c r="M18">
        <v>248</v>
      </c>
      <c r="N18">
        <v>500</v>
      </c>
      <c r="Q18">
        <v>217</v>
      </c>
      <c r="R18">
        <v>500</v>
      </c>
      <c r="U18">
        <v>203</v>
      </c>
      <c r="V18">
        <v>500</v>
      </c>
      <c r="Y18">
        <v>507</v>
      </c>
      <c r="Z18">
        <v>500</v>
      </c>
      <c r="AC18">
        <v>583</v>
      </c>
      <c r="AD18">
        <v>500</v>
      </c>
      <c r="AG18">
        <v>710</v>
      </c>
      <c r="AH18">
        <v>500</v>
      </c>
      <c r="AK18">
        <v>999</v>
      </c>
      <c r="AL18">
        <v>500</v>
      </c>
    </row>
    <row r="19" spans="1:38" x14ac:dyDescent="0.2">
      <c r="A19">
        <v>444</v>
      </c>
      <c r="B19">
        <v>525</v>
      </c>
      <c r="E19">
        <v>323</v>
      </c>
      <c r="F19">
        <v>525</v>
      </c>
      <c r="I19">
        <v>271</v>
      </c>
      <c r="J19">
        <v>525</v>
      </c>
      <c r="M19">
        <v>242</v>
      </c>
      <c r="N19">
        <v>525</v>
      </c>
      <c r="Q19">
        <v>211</v>
      </c>
      <c r="R19">
        <v>525</v>
      </c>
      <c r="U19">
        <v>198</v>
      </c>
      <c r="V19">
        <v>525</v>
      </c>
      <c r="Y19">
        <v>494</v>
      </c>
      <c r="Z19">
        <v>525</v>
      </c>
      <c r="AC19">
        <v>568</v>
      </c>
      <c r="AD19">
        <v>525</v>
      </c>
      <c r="AG19">
        <v>692</v>
      </c>
      <c r="AH19">
        <v>525</v>
      </c>
      <c r="AK19">
        <v>974</v>
      </c>
      <c r="AL19">
        <v>525</v>
      </c>
    </row>
    <row r="20" spans="1:38" x14ac:dyDescent="0.2">
      <c r="A20">
        <v>433</v>
      </c>
      <c r="B20">
        <v>550</v>
      </c>
      <c r="E20">
        <v>315</v>
      </c>
      <c r="F20">
        <v>550</v>
      </c>
      <c r="I20">
        <v>264</v>
      </c>
      <c r="J20">
        <v>550</v>
      </c>
      <c r="M20">
        <v>236</v>
      </c>
      <c r="N20">
        <v>550</v>
      </c>
      <c r="Q20">
        <v>206</v>
      </c>
      <c r="R20">
        <v>550</v>
      </c>
      <c r="U20">
        <v>193</v>
      </c>
      <c r="V20">
        <v>550</v>
      </c>
      <c r="Y20">
        <v>482</v>
      </c>
      <c r="Z20">
        <v>550</v>
      </c>
      <c r="AC20">
        <v>553</v>
      </c>
      <c r="AD20">
        <v>550</v>
      </c>
      <c r="AG20">
        <v>674</v>
      </c>
      <c r="AH20">
        <v>550</v>
      </c>
      <c r="AK20">
        <v>949</v>
      </c>
      <c r="AL20">
        <v>550</v>
      </c>
    </row>
    <row r="21" spans="1:38" x14ac:dyDescent="0.2">
      <c r="A21">
        <v>422</v>
      </c>
      <c r="B21">
        <v>575</v>
      </c>
      <c r="E21">
        <v>307</v>
      </c>
      <c r="F21">
        <v>575</v>
      </c>
      <c r="I21">
        <v>258</v>
      </c>
      <c r="J21">
        <v>575</v>
      </c>
      <c r="M21">
        <v>230</v>
      </c>
      <c r="N21">
        <v>575</v>
      </c>
      <c r="Q21">
        <v>201</v>
      </c>
      <c r="R21">
        <v>575</v>
      </c>
      <c r="U21">
        <v>188</v>
      </c>
      <c r="V21">
        <v>575</v>
      </c>
      <c r="Y21">
        <v>470</v>
      </c>
      <c r="Z21">
        <v>575</v>
      </c>
      <c r="AC21">
        <v>540</v>
      </c>
      <c r="AD21">
        <v>575</v>
      </c>
      <c r="AG21">
        <v>657</v>
      </c>
      <c r="AH21">
        <v>575</v>
      </c>
      <c r="AK21">
        <v>925</v>
      </c>
      <c r="AL21">
        <v>575</v>
      </c>
    </row>
    <row r="22" spans="1:38" x14ac:dyDescent="0.2">
      <c r="A22">
        <v>412</v>
      </c>
      <c r="B22">
        <v>600</v>
      </c>
      <c r="E22">
        <v>299</v>
      </c>
      <c r="F22">
        <v>600</v>
      </c>
      <c r="I22">
        <v>251</v>
      </c>
      <c r="J22">
        <v>600</v>
      </c>
      <c r="M22">
        <v>224</v>
      </c>
      <c r="N22">
        <v>600</v>
      </c>
      <c r="Q22">
        <v>196</v>
      </c>
      <c r="R22">
        <v>600</v>
      </c>
      <c r="U22">
        <v>183</v>
      </c>
      <c r="V22">
        <v>600</v>
      </c>
      <c r="Y22">
        <v>458</v>
      </c>
      <c r="Z22">
        <v>600</v>
      </c>
      <c r="AC22">
        <v>526</v>
      </c>
      <c r="AD22">
        <v>600</v>
      </c>
      <c r="AG22">
        <v>641</v>
      </c>
      <c r="AH22">
        <v>600</v>
      </c>
      <c r="AK22">
        <v>902</v>
      </c>
      <c r="AL22">
        <v>600</v>
      </c>
    </row>
    <row r="23" spans="1:38" x14ac:dyDescent="0.2">
      <c r="A23">
        <v>401</v>
      </c>
      <c r="B23">
        <v>625</v>
      </c>
      <c r="E23">
        <v>292</v>
      </c>
      <c r="F23">
        <v>625</v>
      </c>
      <c r="I23">
        <v>245</v>
      </c>
      <c r="J23">
        <v>625</v>
      </c>
      <c r="M23">
        <v>219</v>
      </c>
      <c r="N23">
        <v>625</v>
      </c>
      <c r="Q23">
        <v>191</v>
      </c>
      <c r="R23">
        <v>625</v>
      </c>
      <c r="U23">
        <v>179</v>
      </c>
      <c r="V23">
        <v>625</v>
      </c>
      <c r="Y23">
        <v>447</v>
      </c>
      <c r="Z23">
        <v>625</v>
      </c>
      <c r="AC23">
        <v>513</v>
      </c>
      <c r="AD23">
        <v>625</v>
      </c>
      <c r="AG23">
        <v>625</v>
      </c>
      <c r="AH23">
        <v>625</v>
      </c>
      <c r="AK23">
        <v>879</v>
      </c>
      <c r="AL23">
        <v>625</v>
      </c>
    </row>
    <row r="24" spans="1:38" x14ac:dyDescent="0.2">
      <c r="A24">
        <v>391</v>
      </c>
      <c r="B24">
        <v>650</v>
      </c>
      <c r="E24">
        <v>284</v>
      </c>
      <c r="F24">
        <v>650</v>
      </c>
      <c r="I24">
        <v>239</v>
      </c>
      <c r="J24">
        <v>650</v>
      </c>
      <c r="M24">
        <v>213</v>
      </c>
      <c r="N24">
        <v>650</v>
      </c>
      <c r="Q24">
        <v>186</v>
      </c>
      <c r="R24">
        <v>650</v>
      </c>
      <c r="U24">
        <v>174</v>
      </c>
      <c r="V24">
        <v>650</v>
      </c>
      <c r="Y24">
        <v>435</v>
      </c>
      <c r="Z24">
        <v>650</v>
      </c>
      <c r="AC24">
        <v>500</v>
      </c>
      <c r="AD24">
        <v>650</v>
      </c>
      <c r="AG24">
        <v>609</v>
      </c>
      <c r="AH24">
        <v>650</v>
      </c>
      <c r="AK24">
        <v>858</v>
      </c>
      <c r="AL24">
        <v>650</v>
      </c>
    </row>
    <row r="25" spans="1:38" x14ac:dyDescent="0.2">
      <c r="A25">
        <v>382</v>
      </c>
      <c r="B25">
        <v>675</v>
      </c>
      <c r="E25">
        <v>277</v>
      </c>
      <c r="F25">
        <v>675</v>
      </c>
      <c r="I25">
        <v>233</v>
      </c>
      <c r="J25">
        <v>675</v>
      </c>
      <c r="M25">
        <v>208</v>
      </c>
      <c r="N25">
        <v>675</v>
      </c>
      <c r="Q25">
        <v>182</v>
      </c>
      <c r="R25">
        <v>675</v>
      </c>
      <c r="U25">
        <v>170</v>
      </c>
      <c r="V25">
        <v>675</v>
      </c>
      <c r="Y25">
        <v>425</v>
      </c>
      <c r="Z25">
        <v>675</v>
      </c>
      <c r="AC25">
        <v>488</v>
      </c>
      <c r="AD25">
        <v>675</v>
      </c>
      <c r="AG25">
        <v>594</v>
      </c>
      <c r="AH25">
        <v>675</v>
      </c>
      <c r="AK25">
        <v>836</v>
      </c>
      <c r="AL25">
        <v>675</v>
      </c>
    </row>
    <row r="26" spans="1:38" x14ac:dyDescent="0.2">
      <c r="A26">
        <v>372</v>
      </c>
      <c r="B26">
        <v>700</v>
      </c>
      <c r="E26">
        <v>271</v>
      </c>
      <c r="F26">
        <v>700</v>
      </c>
      <c r="I26">
        <v>227</v>
      </c>
      <c r="J26">
        <v>700</v>
      </c>
      <c r="M26">
        <v>203</v>
      </c>
      <c r="N26">
        <v>700</v>
      </c>
      <c r="Q26">
        <v>177</v>
      </c>
      <c r="R26">
        <v>700</v>
      </c>
      <c r="U26">
        <v>166</v>
      </c>
      <c r="V26">
        <v>700</v>
      </c>
      <c r="Y26">
        <v>414</v>
      </c>
      <c r="Z26">
        <v>700</v>
      </c>
      <c r="AC26">
        <v>476</v>
      </c>
      <c r="AD26">
        <v>700</v>
      </c>
      <c r="AG26">
        <v>580</v>
      </c>
      <c r="AH26">
        <v>700</v>
      </c>
      <c r="AK26">
        <v>816</v>
      </c>
      <c r="AL26">
        <v>700</v>
      </c>
    </row>
    <row r="27" spans="1:38" x14ac:dyDescent="0.2">
      <c r="A27">
        <v>363</v>
      </c>
      <c r="B27">
        <v>725</v>
      </c>
      <c r="E27">
        <v>264</v>
      </c>
      <c r="F27">
        <v>725</v>
      </c>
      <c r="I27">
        <v>222</v>
      </c>
      <c r="J27">
        <v>725</v>
      </c>
      <c r="M27">
        <v>198</v>
      </c>
      <c r="N27">
        <v>725</v>
      </c>
      <c r="Q27">
        <v>173</v>
      </c>
      <c r="R27">
        <v>725</v>
      </c>
      <c r="U27">
        <v>162</v>
      </c>
      <c r="V27">
        <v>725</v>
      </c>
      <c r="Y27">
        <v>404</v>
      </c>
      <c r="Z27">
        <v>725</v>
      </c>
      <c r="AC27">
        <v>464</v>
      </c>
      <c r="AD27">
        <v>725</v>
      </c>
      <c r="AG27">
        <v>566</v>
      </c>
      <c r="AH27">
        <v>725</v>
      </c>
      <c r="AK27">
        <v>796</v>
      </c>
      <c r="AL27">
        <v>725</v>
      </c>
    </row>
    <row r="28" spans="1:38" x14ac:dyDescent="0.2">
      <c r="A28">
        <v>354</v>
      </c>
      <c r="B28">
        <v>750</v>
      </c>
      <c r="E28">
        <v>257</v>
      </c>
      <c r="F28">
        <v>750</v>
      </c>
      <c r="I28">
        <v>216</v>
      </c>
      <c r="J28">
        <v>750</v>
      </c>
      <c r="M28">
        <v>193</v>
      </c>
      <c r="N28">
        <v>750</v>
      </c>
      <c r="Q28">
        <v>169</v>
      </c>
      <c r="R28">
        <v>750</v>
      </c>
      <c r="U28">
        <v>158</v>
      </c>
      <c r="V28">
        <v>750</v>
      </c>
      <c r="Y28">
        <v>394</v>
      </c>
      <c r="Z28">
        <v>750</v>
      </c>
      <c r="AC28">
        <v>453</v>
      </c>
      <c r="AD28">
        <v>750</v>
      </c>
      <c r="AG28">
        <v>552</v>
      </c>
      <c r="AH28">
        <v>750</v>
      </c>
      <c r="AK28">
        <v>776</v>
      </c>
      <c r="AL28">
        <v>750</v>
      </c>
    </row>
    <row r="29" spans="1:38" x14ac:dyDescent="0.2">
      <c r="A29">
        <v>346</v>
      </c>
      <c r="B29">
        <v>775</v>
      </c>
      <c r="E29">
        <v>251</v>
      </c>
      <c r="F29">
        <v>775</v>
      </c>
      <c r="I29">
        <v>211</v>
      </c>
      <c r="J29">
        <v>775</v>
      </c>
      <c r="M29">
        <v>188</v>
      </c>
      <c r="N29">
        <v>775</v>
      </c>
      <c r="Q29">
        <v>164</v>
      </c>
      <c r="R29">
        <v>775</v>
      </c>
      <c r="U29">
        <v>154</v>
      </c>
      <c r="V29">
        <v>775</v>
      </c>
      <c r="Y29">
        <v>385</v>
      </c>
      <c r="Z29">
        <v>775</v>
      </c>
      <c r="AC29">
        <v>442</v>
      </c>
      <c r="AD29">
        <v>775</v>
      </c>
      <c r="AG29">
        <v>538</v>
      </c>
      <c r="AH29">
        <v>775</v>
      </c>
      <c r="AK29">
        <v>757</v>
      </c>
      <c r="AL29">
        <v>775</v>
      </c>
    </row>
    <row r="30" spans="1:38" x14ac:dyDescent="0.2">
      <c r="A30">
        <v>337</v>
      </c>
      <c r="B30">
        <v>800</v>
      </c>
      <c r="E30">
        <v>245</v>
      </c>
      <c r="F30">
        <v>800</v>
      </c>
      <c r="I30">
        <v>206</v>
      </c>
      <c r="J30">
        <v>800</v>
      </c>
      <c r="M30">
        <v>184</v>
      </c>
      <c r="N30">
        <v>800</v>
      </c>
      <c r="Q30">
        <v>160</v>
      </c>
      <c r="R30">
        <v>800</v>
      </c>
      <c r="U30">
        <v>150</v>
      </c>
      <c r="V30">
        <v>800</v>
      </c>
      <c r="Y30">
        <v>375</v>
      </c>
      <c r="Z30">
        <v>800</v>
      </c>
      <c r="AC30">
        <v>431</v>
      </c>
      <c r="AD30">
        <v>800</v>
      </c>
      <c r="AG30">
        <v>525</v>
      </c>
      <c r="AH30">
        <v>800</v>
      </c>
      <c r="AK30">
        <v>739</v>
      </c>
      <c r="AL30">
        <v>800</v>
      </c>
    </row>
    <row r="33" spans="1:39" x14ac:dyDescent="0.2">
      <c r="A33" s="378" t="s">
        <v>6</v>
      </c>
      <c r="B33" s="378"/>
      <c r="C33" s="378"/>
      <c r="E33" s="377" t="s">
        <v>7</v>
      </c>
      <c r="F33" s="377"/>
      <c r="G33" s="377"/>
      <c r="I33" s="377" t="s">
        <v>8</v>
      </c>
      <c r="J33" s="377"/>
      <c r="K33" s="377"/>
      <c r="M33" s="377" t="s">
        <v>9</v>
      </c>
      <c r="N33" s="377"/>
      <c r="O33" s="377"/>
      <c r="Q33" s="377" t="s">
        <v>10</v>
      </c>
      <c r="R33" s="377"/>
      <c r="S33" s="377"/>
      <c r="U33" s="377" t="s">
        <v>11</v>
      </c>
      <c r="V33" s="377"/>
      <c r="W33" s="377"/>
      <c r="Y33" s="377" t="s">
        <v>39</v>
      </c>
      <c r="Z33" s="377"/>
      <c r="AA33" s="377"/>
      <c r="AC33" s="377" t="s">
        <v>40</v>
      </c>
      <c r="AD33" s="377"/>
      <c r="AE33" s="377"/>
      <c r="AG33" s="377" t="s">
        <v>41</v>
      </c>
      <c r="AH33" s="377"/>
      <c r="AI33" s="377"/>
      <c r="AK33" s="377" t="s">
        <v>42</v>
      </c>
      <c r="AL33" s="377"/>
      <c r="AM33" s="377"/>
    </row>
    <row r="34" spans="1:39" x14ac:dyDescent="0.2">
      <c r="A34" s="1">
        <v>612.5313081676511</v>
      </c>
      <c r="B34">
        <v>100</v>
      </c>
      <c r="E34" s="1">
        <v>444.99367867626023</v>
      </c>
      <c r="F34">
        <v>100</v>
      </c>
      <c r="I34" s="1">
        <v>373.86947146123617</v>
      </c>
      <c r="J34">
        <v>100</v>
      </c>
      <c r="M34" s="1">
        <v>333.74525900719516</v>
      </c>
      <c r="N34">
        <v>100</v>
      </c>
      <c r="Q34" s="1">
        <v>291.31674518725993</v>
      </c>
      <c r="R34">
        <v>100</v>
      </c>
      <c r="U34" s="1">
        <v>272.50186288021325</v>
      </c>
      <c r="V34">
        <v>100</v>
      </c>
      <c r="Y34">
        <v>681</v>
      </c>
      <c r="Z34">
        <v>100</v>
      </c>
      <c r="AC34">
        <v>783</v>
      </c>
      <c r="AD34">
        <v>100</v>
      </c>
      <c r="AG34">
        <v>954</v>
      </c>
      <c r="AH34">
        <v>100</v>
      </c>
      <c r="AK34">
        <v>1342</v>
      </c>
      <c r="AL34">
        <v>100</v>
      </c>
    </row>
    <row r="35" spans="1:39" x14ac:dyDescent="0.2">
      <c r="A35" s="1">
        <v>594.76180645698821</v>
      </c>
      <c r="B35">
        <v>125</v>
      </c>
      <c r="E35" s="1">
        <v>432.08443497061808</v>
      </c>
      <c r="F35">
        <v>125</v>
      </c>
      <c r="I35" s="1">
        <v>363.02353734471137</v>
      </c>
      <c r="J35">
        <v>125</v>
      </c>
      <c r="M35" s="1">
        <v>324.06332622796356</v>
      </c>
      <c r="N35">
        <v>125</v>
      </c>
      <c r="Q35" s="1">
        <v>282.86566140929745</v>
      </c>
      <c r="R35">
        <v>125</v>
      </c>
      <c r="U35" s="1">
        <v>264.59659786919855</v>
      </c>
      <c r="V35">
        <v>125</v>
      </c>
      <c r="Y35">
        <v>661</v>
      </c>
      <c r="Z35">
        <v>125</v>
      </c>
      <c r="AC35">
        <v>760</v>
      </c>
      <c r="AD35">
        <v>125</v>
      </c>
      <c r="AG35">
        <v>926</v>
      </c>
      <c r="AH35">
        <v>125</v>
      </c>
      <c r="AK35">
        <v>1303</v>
      </c>
      <c r="AL35">
        <v>125</v>
      </c>
    </row>
    <row r="36" spans="1:39" x14ac:dyDescent="0.2">
      <c r="A36" s="1">
        <v>577.7104373956239</v>
      </c>
      <c r="B36">
        <v>150</v>
      </c>
      <c r="E36" s="1">
        <v>419.69690253936756</v>
      </c>
      <c r="F36">
        <v>150</v>
      </c>
      <c r="I36" s="1">
        <v>352.61592837247269</v>
      </c>
      <c r="J36">
        <v>150</v>
      </c>
      <c r="M36" s="1">
        <v>314.77267690452567</v>
      </c>
      <c r="N36">
        <v>150</v>
      </c>
      <c r="Q36" s="1">
        <v>274.75611783216516</v>
      </c>
      <c r="R36">
        <v>150</v>
      </c>
      <c r="U36" s="1">
        <v>257.010814462013</v>
      </c>
      <c r="V36">
        <v>150</v>
      </c>
      <c r="Y36">
        <v>643</v>
      </c>
      <c r="Z36">
        <v>150</v>
      </c>
      <c r="AC36">
        <v>738</v>
      </c>
      <c r="AD36">
        <v>150</v>
      </c>
      <c r="AG36">
        <v>899</v>
      </c>
      <c r="AH36">
        <v>150</v>
      </c>
      <c r="AK36">
        <v>1265</v>
      </c>
      <c r="AL36">
        <v>150</v>
      </c>
    </row>
    <row r="37" spans="1:39" x14ac:dyDescent="0.2">
      <c r="A37" s="1">
        <v>561.33233721873194</v>
      </c>
      <c r="B37">
        <v>175</v>
      </c>
      <c r="E37" s="1">
        <v>407.79848861299126</v>
      </c>
      <c r="F37">
        <v>175</v>
      </c>
      <c r="I37" s="1">
        <v>342.61926114089692</v>
      </c>
      <c r="J37">
        <v>175</v>
      </c>
      <c r="M37" s="1">
        <v>305.84886645974342</v>
      </c>
      <c r="N37">
        <v>175</v>
      </c>
      <c r="Q37" s="1">
        <v>266.96677747965998</v>
      </c>
      <c r="R37">
        <v>175</v>
      </c>
      <c r="U37" s="1">
        <v>249.7245537450012</v>
      </c>
      <c r="V37">
        <v>175</v>
      </c>
      <c r="Y37">
        <v>624</v>
      </c>
      <c r="Z37">
        <v>175</v>
      </c>
      <c r="AC37">
        <v>717</v>
      </c>
      <c r="AD37">
        <v>175</v>
      </c>
      <c r="AG37">
        <v>874</v>
      </c>
      <c r="AH37">
        <v>175</v>
      </c>
      <c r="AK37">
        <v>1230</v>
      </c>
      <c r="AL37">
        <v>175</v>
      </c>
    </row>
    <row r="38" spans="1:39" x14ac:dyDescent="0.2">
      <c r="A38" s="1">
        <v>545.58663908636595</v>
      </c>
      <c r="B38">
        <v>200</v>
      </c>
      <c r="E38" s="1">
        <v>396.35950412057787</v>
      </c>
      <c r="F38">
        <v>200</v>
      </c>
      <c r="I38" s="1">
        <v>333.00859184115785</v>
      </c>
      <c r="J38">
        <v>200</v>
      </c>
      <c r="M38" s="1">
        <v>297.2696280904334</v>
      </c>
      <c r="N38">
        <v>200</v>
      </c>
      <c r="Q38" s="1">
        <v>259.47820429252988</v>
      </c>
      <c r="R38">
        <v>200</v>
      </c>
      <c r="U38" s="1">
        <v>242.71963494949557</v>
      </c>
      <c r="V38">
        <v>200</v>
      </c>
      <c r="Y38">
        <v>607</v>
      </c>
      <c r="Z38">
        <v>200</v>
      </c>
      <c r="AC38">
        <v>697</v>
      </c>
      <c r="AD38">
        <v>200</v>
      </c>
      <c r="AG38">
        <v>849</v>
      </c>
      <c r="AH38">
        <v>200</v>
      </c>
      <c r="AK38">
        <v>1195</v>
      </c>
      <c r="AL38">
        <v>200</v>
      </c>
    </row>
    <row r="39" spans="1:39" x14ac:dyDescent="0.2">
      <c r="A39" s="1">
        <v>530.43601817039735</v>
      </c>
      <c r="B39">
        <v>225</v>
      </c>
      <c r="E39" s="1">
        <v>385.35283320314437</v>
      </c>
      <c r="F39">
        <v>225</v>
      </c>
      <c r="I39" s="1">
        <v>323.76113859487845</v>
      </c>
      <c r="J39">
        <v>225</v>
      </c>
      <c r="M39" s="1">
        <v>289.01462490235826</v>
      </c>
      <c r="N39">
        <v>225</v>
      </c>
      <c r="Q39" s="1">
        <v>252.27264677415732</v>
      </c>
      <c r="R39">
        <v>225</v>
      </c>
      <c r="U39" s="1">
        <v>235.97945307088477</v>
      </c>
      <c r="V39">
        <v>225</v>
      </c>
      <c r="Y39">
        <v>590</v>
      </c>
      <c r="Z39">
        <v>225</v>
      </c>
      <c r="AC39">
        <v>678</v>
      </c>
      <c r="AD39">
        <v>225</v>
      </c>
      <c r="AG39">
        <v>826</v>
      </c>
      <c r="AH39">
        <v>225</v>
      </c>
      <c r="AK39">
        <v>1162</v>
      </c>
      <c r="AL39">
        <v>225</v>
      </c>
    </row>
    <row r="40" spans="1:39" x14ac:dyDescent="0.2">
      <c r="A40" s="1">
        <v>515.84629884501555</v>
      </c>
      <c r="B40">
        <v>250</v>
      </c>
      <c r="E40" s="1">
        <v>374.75364784415081</v>
      </c>
      <c r="F40">
        <v>250</v>
      </c>
      <c r="I40" s="1">
        <v>314.85604169580643</v>
      </c>
      <c r="J40">
        <v>250</v>
      </c>
      <c r="M40" s="1">
        <v>281.06523588311308</v>
      </c>
      <c r="N40">
        <v>250</v>
      </c>
      <c r="Q40" s="1">
        <v>245.33385117237793</v>
      </c>
      <c r="R40">
        <v>250</v>
      </c>
      <c r="U40" s="1">
        <v>229.48880411620667</v>
      </c>
      <c r="V40">
        <v>250</v>
      </c>
      <c r="Y40">
        <v>574</v>
      </c>
      <c r="Z40">
        <v>250</v>
      </c>
      <c r="AC40">
        <v>659</v>
      </c>
      <c r="AD40">
        <v>250</v>
      </c>
      <c r="AG40">
        <v>803</v>
      </c>
      <c r="AH40">
        <v>250</v>
      </c>
      <c r="AK40">
        <v>1130</v>
      </c>
      <c r="AL40">
        <v>250</v>
      </c>
    </row>
    <row r="41" spans="1:39" x14ac:dyDescent="0.2">
      <c r="A41" s="1">
        <v>501.78611417428101</v>
      </c>
      <c r="B41">
        <v>275</v>
      </c>
      <c r="E41" s="1">
        <v>364.53916049294219</v>
      </c>
      <c r="F41">
        <v>275</v>
      </c>
      <c r="I41" s="1">
        <v>306.27415577193437</v>
      </c>
      <c r="J41">
        <v>275</v>
      </c>
      <c r="M41" s="1">
        <v>273.40437036970667</v>
      </c>
      <c r="N41">
        <v>275</v>
      </c>
      <c r="Q41" s="1">
        <v>238.64689953350907</v>
      </c>
      <c r="R41">
        <v>275</v>
      </c>
      <c r="U41" s="1">
        <v>223.23373361756319</v>
      </c>
      <c r="V41">
        <v>275</v>
      </c>
      <c r="Y41">
        <v>558</v>
      </c>
      <c r="Z41">
        <v>275</v>
      </c>
      <c r="AC41">
        <v>641</v>
      </c>
      <c r="AD41">
        <v>275</v>
      </c>
      <c r="AG41">
        <v>781</v>
      </c>
      <c r="AH41">
        <v>275</v>
      </c>
      <c r="AK41">
        <v>1099</v>
      </c>
      <c r="AL41">
        <v>275</v>
      </c>
    </row>
    <row r="42" spans="1:39" x14ac:dyDescent="0.2">
      <c r="A42" s="1">
        <v>488.22660963769033</v>
      </c>
      <c r="B42">
        <v>300</v>
      </c>
      <c r="E42" s="1">
        <v>354.68840882636221</v>
      </c>
      <c r="F42">
        <v>300</v>
      </c>
      <c r="I42" s="1">
        <v>297.9978689490838</v>
      </c>
      <c r="J42">
        <v>300</v>
      </c>
      <c r="M42" s="1">
        <v>266.01630661977163</v>
      </c>
      <c r="N42">
        <v>300</v>
      </c>
      <c r="Q42" s="1">
        <v>232.19806879574972</v>
      </c>
      <c r="R42">
        <v>300</v>
      </c>
      <c r="U42" s="1">
        <v>217.20140482606519</v>
      </c>
      <c r="V42">
        <v>300</v>
      </c>
      <c r="Y42">
        <v>543</v>
      </c>
      <c r="Z42">
        <v>300</v>
      </c>
      <c r="AC42">
        <v>624</v>
      </c>
      <c r="AD42">
        <v>300</v>
      </c>
      <c r="AG42">
        <v>760</v>
      </c>
      <c r="AH42">
        <v>300</v>
      </c>
      <c r="AK42">
        <v>1069</v>
      </c>
      <c r="AL42">
        <v>300</v>
      </c>
    </row>
    <row r="43" spans="1:39" x14ac:dyDescent="0.2">
      <c r="A43" s="1">
        <v>475.14118443706457</v>
      </c>
      <c r="B43">
        <v>325</v>
      </c>
      <c r="E43" s="1">
        <v>345.18206781256418</v>
      </c>
      <c r="F43">
        <v>325</v>
      </c>
      <c r="I43" s="1">
        <v>290.01094495292375</v>
      </c>
      <c r="J43">
        <v>325</v>
      </c>
      <c r="M43" s="1">
        <v>258.8865508594231</v>
      </c>
      <c r="N43">
        <v>325</v>
      </c>
      <c r="Q43" s="1">
        <v>225.97470775606504</v>
      </c>
      <c r="R43">
        <v>325</v>
      </c>
      <c r="U43" s="1">
        <v>211.37998362489083</v>
      </c>
      <c r="V43">
        <v>325</v>
      </c>
      <c r="Y43">
        <v>528</v>
      </c>
      <c r="Z43">
        <v>325</v>
      </c>
      <c r="AC43">
        <v>607</v>
      </c>
      <c r="AD43">
        <v>325</v>
      </c>
      <c r="AG43">
        <v>740</v>
      </c>
      <c r="AH43">
        <v>325</v>
      </c>
      <c r="AK43">
        <v>1041</v>
      </c>
      <c r="AL43">
        <v>325</v>
      </c>
    </row>
    <row r="44" spans="1:39" x14ac:dyDescent="0.2">
      <c r="A44" s="1">
        <v>462.50526485981203</v>
      </c>
      <c r="B44">
        <v>350</v>
      </c>
      <c r="E44" s="1">
        <v>336.00228506323901</v>
      </c>
      <c r="F44">
        <v>350</v>
      </c>
      <c r="I44" s="1">
        <v>282.2983847771734</v>
      </c>
      <c r="J44">
        <v>350</v>
      </c>
      <c r="M44" s="1">
        <v>252.00171379742923</v>
      </c>
      <c r="N44">
        <v>350</v>
      </c>
      <c r="Q44" s="1">
        <v>219.96512928291756</v>
      </c>
      <c r="R44">
        <v>350</v>
      </c>
      <c r="U44" s="1">
        <v>205.75853770352836</v>
      </c>
      <c r="V44">
        <v>350</v>
      </c>
      <c r="Y44">
        <v>514</v>
      </c>
      <c r="Z44">
        <v>350</v>
      </c>
      <c r="AC44">
        <v>591</v>
      </c>
      <c r="AD44">
        <v>350</v>
      </c>
      <c r="AG44">
        <v>720</v>
      </c>
      <c r="AH44">
        <v>350</v>
      </c>
      <c r="AK44">
        <v>1013</v>
      </c>
      <c r="AL44">
        <v>350</v>
      </c>
    </row>
    <row r="45" spans="1:39" x14ac:dyDescent="0.2">
      <c r="A45" s="1">
        <v>450.29610509188569</v>
      </c>
      <c r="B45">
        <v>375</v>
      </c>
      <c r="E45" s="1">
        <v>327.13253612758342</v>
      </c>
      <c r="F45">
        <v>375</v>
      </c>
      <c r="I45" s="1">
        <v>274.84630510621713</v>
      </c>
      <c r="J45">
        <v>375</v>
      </c>
      <c r="M45" s="1">
        <v>245.34940209568757</v>
      </c>
      <c r="N45">
        <v>375</v>
      </c>
      <c r="Q45" s="1">
        <v>214.15851558393246</v>
      </c>
      <c r="R45">
        <v>375</v>
      </c>
      <c r="U45" s="1">
        <v>200.32694794379077</v>
      </c>
      <c r="V45">
        <v>375</v>
      </c>
      <c r="Y45">
        <v>501</v>
      </c>
      <c r="Z45">
        <v>375</v>
      </c>
      <c r="AC45">
        <v>575</v>
      </c>
      <c r="AD45">
        <v>375</v>
      </c>
      <c r="AG45">
        <v>701</v>
      </c>
      <c r="AH45">
        <v>375</v>
      </c>
      <c r="AK45">
        <v>986</v>
      </c>
      <c r="AL45">
        <v>375</v>
      </c>
    </row>
    <row r="46" spans="1:39" x14ac:dyDescent="0.2">
      <c r="A46" s="1">
        <v>438.49261162259108</v>
      </c>
      <c r="B46">
        <v>400</v>
      </c>
      <c r="E46" s="1">
        <v>318.55749692535056</v>
      </c>
      <c r="F46">
        <v>400</v>
      </c>
      <c r="I46" s="1">
        <v>267.64183113742939</v>
      </c>
      <c r="J46">
        <v>400</v>
      </c>
      <c r="M46" s="1">
        <v>238.91812269401291</v>
      </c>
      <c r="N46">
        <v>400</v>
      </c>
      <c r="Q46" s="1">
        <v>208.5448346937259</v>
      </c>
      <c r="R46">
        <v>400</v>
      </c>
      <c r="U46" s="1">
        <v>195.07583030133247</v>
      </c>
      <c r="V46">
        <v>400</v>
      </c>
      <c r="Y46">
        <v>488</v>
      </c>
      <c r="Z46">
        <v>400</v>
      </c>
      <c r="AC46">
        <v>560</v>
      </c>
      <c r="AD46">
        <v>400</v>
      </c>
      <c r="AG46">
        <v>683</v>
      </c>
      <c r="AH46">
        <v>400</v>
      </c>
      <c r="AK46">
        <v>960</v>
      </c>
      <c r="AL46">
        <v>400</v>
      </c>
    </row>
    <row r="47" spans="1:39" x14ac:dyDescent="0.2">
      <c r="A47" s="1">
        <v>427.07518799703371</v>
      </c>
      <c r="B47">
        <v>425</v>
      </c>
      <c r="E47" s="1">
        <v>310.26293096211748</v>
      </c>
      <c r="F47">
        <v>425</v>
      </c>
      <c r="I47" s="1">
        <v>260.67300182304632</v>
      </c>
      <c r="J47">
        <v>425</v>
      </c>
      <c r="M47" s="1">
        <v>232.69719822158811</v>
      </c>
      <c r="N47">
        <v>425</v>
      </c>
      <c r="Q47" s="1">
        <v>203.11476663896593</v>
      </c>
      <c r="R47">
        <v>425</v>
      </c>
      <c r="U47" s="1">
        <v>189.99646673938801</v>
      </c>
      <c r="V47">
        <v>425</v>
      </c>
      <c r="Y47">
        <v>475</v>
      </c>
      <c r="Z47">
        <v>425</v>
      </c>
      <c r="AC47">
        <v>546</v>
      </c>
      <c r="AD47">
        <v>425</v>
      </c>
      <c r="AG47">
        <v>665</v>
      </c>
      <c r="AH47">
        <v>425</v>
      </c>
      <c r="AK47">
        <v>935</v>
      </c>
      <c r="AL47">
        <v>425</v>
      </c>
    </row>
    <row r="48" spans="1:39" x14ac:dyDescent="0.2">
      <c r="A48" s="1">
        <v>416.02559717716935</v>
      </c>
      <c r="B48">
        <v>450</v>
      </c>
      <c r="E48" s="1">
        <v>302.23558933690686</v>
      </c>
      <c r="F48">
        <v>450</v>
      </c>
      <c r="I48" s="1">
        <v>253.92868585976345</v>
      </c>
      <c r="J48">
        <v>450</v>
      </c>
      <c r="M48" s="1">
        <v>226.67669200268017</v>
      </c>
      <c r="N48">
        <v>450</v>
      </c>
      <c r="Q48" s="1">
        <v>197.85963797799485</v>
      </c>
      <c r="R48">
        <v>450</v>
      </c>
      <c r="U48" s="1">
        <v>185.08074399619557</v>
      </c>
      <c r="V48">
        <v>450</v>
      </c>
      <c r="Y48">
        <v>463</v>
      </c>
      <c r="Z48">
        <v>450</v>
      </c>
      <c r="AC48">
        <v>532</v>
      </c>
      <c r="AD48">
        <v>450</v>
      </c>
      <c r="AG48">
        <v>648</v>
      </c>
      <c r="AH48">
        <v>450</v>
      </c>
      <c r="AK48">
        <v>911</v>
      </c>
      <c r="AL48">
        <v>450</v>
      </c>
    </row>
    <row r="49" spans="1:38" x14ac:dyDescent="0.2">
      <c r="A49" s="1">
        <v>405.3268391901388</v>
      </c>
      <c r="B49">
        <v>475</v>
      </c>
      <c r="E49" s="1">
        <v>294.46312185576272</v>
      </c>
      <c r="F49">
        <v>475</v>
      </c>
      <c r="I49" s="1">
        <v>247.39850700920252</v>
      </c>
      <c r="J49">
        <v>475</v>
      </c>
      <c r="M49" s="1">
        <v>220.84734139182203</v>
      </c>
      <c r="N49">
        <v>475</v>
      </c>
      <c r="Q49" s="1">
        <v>192.77136361100546</v>
      </c>
      <c r="R49">
        <v>475</v>
      </c>
      <c r="U49" s="1">
        <v>180.32109915340098</v>
      </c>
      <c r="V49">
        <v>475</v>
      </c>
      <c r="Y49">
        <v>451</v>
      </c>
      <c r="Z49">
        <v>475</v>
      </c>
      <c r="AC49">
        <v>518</v>
      </c>
      <c r="AD49">
        <v>475</v>
      </c>
      <c r="AG49">
        <v>631</v>
      </c>
      <c r="AH49">
        <v>475</v>
      </c>
      <c r="AK49">
        <v>888</v>
      </c>
      <c r="AL49">
        <v>475</v>
      </c>
    </row>
    <row r="50" spans="1:38" x14ac:dyDescent="0.2">
      <c r="A50" s="1">
        <v>394.96304208942564</v>
      </c>
      <c r="B50">
        <v>500</v>
      </c>
      <c r="E50" s="1">
        <v>286.93399781686804</v>
      </c>
      <c r="F50">
        <v>500</v>
      </c>
      <c r="I50" s="1">
        <v>241.07277754409805</v>
      </c>
      <c r="J50">
        <v>500</v>
      </c>
      <c r="M50" s="1">
        <v>215.20049836265102</v>
      </c>
      <c r="N50">
        <v>500</v>
      </c>
      <c r="Q50" s="1">
        <v>187.84239492172736</v>
      </c>
      <c r="R50">
        <v>500</v>
      </c>
      <c r="U50" s="1">
        <v>175.71047112704724</v>
      </c>
      <c r="V50">
        <v>500</v>
      </c>
      <c r="Y50">
        <v>439</v>
      </c>
      <c r="Z50">
        <v>500</v>
      </c>
      <c r="AC50">
        <v>505</v>
      </c>
      <c r="AD50">
        <v>500</v>
      </c>
      <c r="AG50">
        <v>615</v>
      </c>
      <c r="AH50">
        <v>500</v>
      </c>
      <c r="AK50">
        <v>865</v>
      </c>
      <c r="AL50">
        <v>500</v>
      </c>
    </row>
    <row r="51" spans="1:38" x14ac:dyDescent="0.2">
      <c r="A51" s="1">
        <v>384.91936454356528</v>
      </c>
      <c r="B51">
        <v>525</v>
      </c>
      <c r="E51" s="1">
        <v>279.63743524288236</v>
      </c>
      <c r="F51">
        <v>525</v>
      </c>
      <c r="I51" s="1">
        <v>234.94243879156829</v>
      </c>
      <c r="J51">
        <v>525</v>
      </c>
      <c r="M51" s="1">
        <v>209.72807643216177</v>
      </c>
      <c r="N51">
        <v>525</v>
      </c>
      <c r="Q51" s="1">
        <v>183.06567344911721</v>
      </c>
      <c r="R51">
        <v>525</v>
      </c>
      <c r="U51" s="1">
        <v>171.24225733140889</v>
      </c>
      <c r="V51">
        <v>525</v>
      </c>
      <c r="Y51">
        <v>428</v>
      </c>
      <c r="Z51">
        <v>525</v>
      </c>
      <c r="AC51">
        <v>492</v>
      </c>
      <c r="AD51">
        <v>525</v>
      </c>
      <c r="AG51">
        <v>599</v>
      </c>
      <c r="AH51">
        <v>525</v>
      </c>
      <c r="AK51">
        <v>843</v>
      </c>
      <c r="AL51">
        <v>525</v>
      </c>
    </row>
    <row r="52" spans="1:38" x14ac:dyDescent="0.2">
      <c r="A52" s="1">
        <v>375.18190860916837</v>
      </c>
      <c r="B52">
        <v>550</v>
      </c>
      <c r="E52" s="1">
        <v>272.56333751201294</v>
      </c>
      <c r="F52">
        <v>550</v>
      </c>
      <c r="I52" s="1">
        <v>228.99900789256577</v>
      </c>
      <c r="J52">
        <v>550</v>
      </c>
      <c r="M52" s="1">
        <v>204.42250313400967</v>
      </c>
      <c r="N52">
        <v>550</v>
      </c>
      <c r="Q52" s="1">
        <v>178.43458940265654</v>
      </c>
      <c r="R52">
        <v>550</v>
      </c>
      <c r="U52" s="1">
        <v>166.91027487360628</v>
      </c>
      <c r="V52">
        <v>550</v>
      </c>
      <c r="Y52">
        <v>417</v>
      </c>
      <c r="Z52">
        <v>550</v>
      </c>
      <c r="AC52">
        <v>479</v>
      </c>
      <c r="AD52">
        <v>550</v>
      </c>
      <c r="AG52">
        <v>584</v>
      </c>
      <c r="AH52">
        <v>550</v>
      </c>
      <c r="AK52">
        <v>822</v>
      </c>
      <c r="AL52">
        <v>550</v>
      </c>
    </row>
    <row r="53" spans="1:38" x14ac:dyDescent="0.2">
      <c r="A53" s="1">
        <v>365.73764144834166</v>
      </c>
      <c r="B53">
        <v>575</v>
      </c>
      <c r="E53" s="1">
        <v>265.70223648703904</v>
      </c>
      <c r="F53">
        <v>575</v>
      </c>
      <c r="I53" s="1">
        <v>223.23453002070067</v>
      </c>
      <c r="J53">
        <v>575</v>
      </c>
      <c r="M53" s="1">
        <v>199.27667736527926</v>
      </c>
      <c r="N53">
        <v>575</v>
      </c>
      <c r="Q53" s="1">
        <v>173.94294443155911</v>
      </c>
      <c r="R53">
        <v>575</v>
      </c>
      <c r="U53" s="1">
        <v>162.7087257273881</v>
      </c>
      <c r="V53">
        <v>575</v>
      </c>
      <c r="Y53">
        <v>407</v>
      </c>
      <c r="Z53">
        <v>575</v>
      </c>
      <c r="AC53">
        <v>467</v>
      </c>
      <c r="AD53">
        <v>575</v>
      </c>
      <c r="AG53">
        <v>569</v>
      </c>
      <c r="AH53">
        <v>575</v>
      </c>
      <c r="AK53">
        <v>801</v>
      </c>
      <c r="AL53">
        <v>575</v>
      </c>
    </row>
    <row r="54" spans="1:38" x14ac:dyDescent="0.2">
      <c r="A54" s="1">
        <v>356.57432492199723</v>
      </c>
      <c r="B54">
        <v>600</v>
      </c>
      <c r="E54" s="1">
        <v>259.04524136603709</v>
      </c>
      <c r="F54">
        <v>600</v>
      </c>
      <c r="I54" s="1">
        <v>217.6415354082543</v>
      </c>
      <c r="J54">
        <v>600</v>
      </c>
      <c r="M54" s="1">
        <v>194.28393102452782</v>
      </c>
      <c r="N54">
        <v>600</v>
      </c>
      <c r="Q54" s="1">
        <v>169.58491813971011</v>
      </c>
      <c r="R54">
        <v>600</v>
      </c>
      <c r="U54" s="1">
        <v>158.63216541072512</v>
      </c>
      <c r="V54">
        <v>600</v>
      </c>
      <c r="Y54">
        <v>397</v>
      </c>
      <c r="Z54">
        <v>600</v>
      </c>
      <c r="AC54">
        <v>456</v>
      </c>
      <c r="AD54">
        <v>600</v>
      </c>
      <c r="AG54">
        <v>555</v>
      </c>
      <c r="AH54">
        <v>600</v>
      </c>
      <c r="AK54">
        <v>781</v>
      </c>
      <c r="AL54">
        <v>600</v>
      </c>
    </row>
    <row r="55" spans="1:38" x14ac:dyDescent="0.2">
      <c r="A55" s="1">
        <v>347.68045213554433</v>
      </c>
      <c r="B55">
        <v>625</v>
      </c>
      <c r="E55" s="1">
        <v>252.58399258389466</v>
      </c>
      <c r="F55">
        <v>625</v>
      </c>
      <c r="I55" s="1">
        <v>212.21300061570375</v>
      </c>
      <c r="J55">
        <v>625</v>
      </c>
      <c r="M55" s="1">
        <v>189.43799443792099</v>
      </c>
      <c r="N55">
        <v>625</v>
      </c>
      <c r="Q55" s="1">
        <v>165.35503790712315</v>
      </c>
      <c r="R55">
        <v>625</v>
      </c>
      <c r="U55" s="1">
        <v>154.67547475636809</v>
      </c>
      <c r="V55">
        <v>625</v>
      </c>
      <c r="Y55">
        <v>387</v>
      </c>
      <c r="Z55">
        <v>625</v>
      </c>
      <c r="AC55">
        <v>444</v>
      </c>
      <c r="AD55">
        <v>625</v>
      </c>
      <c r="AG55">
        <v>541</v>
      </c>
      <c r="AH55">
        <v>625</v>
      </c>
      <c r="AK55">
        <v>762</v>
      </c>
      <c r="AL55">
        <v>625</v>
      </c>
    </row>
    <row r="56" spans="1:38" x14ac:dyDescent="0.2">
      <c r="A56" s="1">
        <v>339.04519013650798</v>
      </c>
      <c r="B56">
        <v>650</v>
      </c>
      <c r="E56" s="1">
        <v>246.31062018309521</v>
      </c>
      <c r="F56">
        <v>650</v>
      </c>
      <c r="I56" s="1">
        <v>206.9423135561855</v>
      </c>
      <c r="J56">
        <v>650</v>
      </c>
      <c r="M56" s="1">
        <v>184.73296513732143</v>
      </c>
      <c r="N56">
        <v>650</v>
      </c>
      <c r="Q56" s="1">
        <v>161.24815163722167</v>
      </c>
      <c r="R56">
        <v>650</v>
      </c>
      <c r="U56" s="1">
        <v>150.83383441926375</v>
      </c>
      <c r="V56">
        <v>650</v>
      </c>
      <c r="Y56">
        <v>377</v>
      </c>
      <c r="Z56">
        <v>650</v>
      </c>
      <c r="AC56">
        <v>433</v>
      </c>
      <c r="AD56">
        <v>650</v>
      </c>
      <c r="AG56">
        <v>528</v>
      </c>
      <c r="AH56">
        <v>650</v>
      </c>
      <c r="AK56">
        <v>743</v>
      </c>
      <c r="AL56">
        <v>650</v>
      </c>
    </row>
    <row r="57" spans="1:38" x14ac:dyDescent="0.2">
      <c r="A57" s="1">
        <v>330.65832806839103</v>
      </c>
      <c r="B57">
        <v>675</v>
      </c>
      <c r="E57" s="1">
        <v>240.21770614837251</v>
      </c>
      <c r="F57">
        <v>675</v>
      </c>
      <c r="I57" s="1">
        <v>201.82324185027531</v>
      </c>
      <c r="J57">
        <v>675</v>
      </c>
      <c r="M57" s="1">
        <v>180.16327961127936</v>
      </c>
      <c r="N57">
        <v>675</v>
      </c>
      <c r="Q57" s="1">
        <v>157.25940309908231</v>
      </c>
      <c r="R57">
        <v>675</v>
      </c>
      <c r="U57" s="1">
        <v>147.10270181133552</v>
      </c>
      <c r="V57">
        <v>675</v>
      </c>
      <c r="Y57">
        <v>368</v>
      </c>
      <c r="Z57">
        <v>675</v>
      </c>
      <c r="AC57">
        <v>422</v>
      </c>
      <c r="AD57">
        <v>675</v>
      </c>
      <c r="AG57">
        <v>515</v>
      </c>
      <c r="AH57">
        <v>675</v>
      </c>
      <c r="AK57">
        <v>724</v>
      </c>
      <c r="AL57">
        <v>675</v>
      </c>
    </row>
    <row r="58" spans="1:38" x14ac:dyDescent="0.2">
      <c r="A58" s="1">
        <v>322.51023017456902</v>
      </c>
      <c r="B58">
        <v>700</v>
      </c>
      <c r="E58" s="1">
        <v>234.29825026483135</v>
      </c>
      <c r="F58">
        <v>700</v>
      </c>
      <c r="I58" s="1">
        <v>196.84990414107224</v>
      </c>
      <c r="J58">
        <v>700</v>
      </c>
      <c r="M58" s="1">
        <v>175.72368769862351</v>
      </c>
      <c r="N58">
        <v>700</v>
      </c>
      <c r="Q58" s="1">
        <v>153.38420957632815</v>
      </c>
      <c r="R58">
        <v>700</v>
      </c>
      <c r="U58" s="1">
        <v>143.47779019393761</v>
      </c>
      <c r="V58">
        <v>700</v>
      </c>
      <c r="Y58">
        <v>359</v>
      </c>
      <c r="Z58">
        <v>700</v>
      </c>
      <c r="AC58">
        <v>412</v>
      </c>
      <c r="AD58">
        <v>700</v>
      </c>
      <c r="AG58">
        <v>502</v>
      </c>
      <c r="AH58">
        <v>700</v>
      </c>
      <c r="AK58">
        <v>706</v>
      </c>
      <c r="AL58">
        <v>700</v>
      </c>
    </row>
    <row r="59" spans="1:38" x14ac:dyDescent="0.2">
      <c r="A59" s="1">
        <v>314.59179312262029</v>
      </c>
      <c r="B59">
        <v>725</v>
      </c>
      <c r="E59" s="1">
        <v>228.54563911479264</v>
      </c>
      <c r="F59">
        <v>725</v>
      </c>
      <c r="I59" s="1">
        <v>192.0167440463382</v>
      </c>
      <c r="J59">
        <v>725</v>
      </c>
      <c r="M59" s="1">
        <v>171.40922933609446</v>
      </c>
      <c r="N59">
        <v>725</v>
      </c>
      <c r="Q59" s="1">
        <v>149.61824157079963</v>
      </c>
      <c r="R59">
        <v>725</v>
      </c>
      <c r="U59" s="1">
        <v>139.9550496923776</v>
      </c>
      <c r="V59">
        <v>725</v>
      </c>
      <c r="Y59">
        <v>350</v>
      </c>
      <c r="Z59">
        <v>725</v>
      </c>
      <c r="AC59">
        <v>402</v>
      </c>
      <c r="AD59">
        <v>725</v>
      </c>
      <c r="AG59">
        <v>490</v>
      </c>
      <c r="AH59">
        <v>725</v>
      </c>
      <c r="AK59">
        <v>689</v>
      </c>
      <c r="AL59">
        <v>725</v>
      </c>
    </row>
    <row r="60" spans="1:38" x14ac:dyDescent="0.2">
      <c r="A60" s="1">
        <v>306.89440718531864</v>
      </c>
      <c r="B60">
        <v>750</v>
      </c>
      <c r="E60" s="1">
        <v>222.95361787643779</v>
      </c>
      <c r="F60">
        <v>750</v>
      </c>
      <c r="I60" s="1">
        <v>187.31850646462027</v>
      </c>
      <c r="J60">
        <v>750</v>
      </c>
      <c r="M60" s="1">
        <v>167.21521340732832</v>
      </c>
      <c r="N60">
        <v>750</v>
      </c>
      <c r="Q60" s="1">
        <v>145.9574043404337</v>
      </c>
      <c r="R60">
        <v>750</v>
      </c>
      <c r="U60" s="1">
        <v>136.53065002618365</v>
      </c>
      <c r="V60">
        <v>750</v>
      </c>
      <c r="Y60">
        <v>341</v>
      </c>
      <c r="Z60">
        <v>750</v>
      </c>
      <c r="AC60">
        <v>392</v>
      </c>
      <c r="AD60">
        <v>750</v>
      </c>
      <c r="AG60">
        <v>478</v>
      </c>
      <c r="AH60">
        <v>750</v>
      </c>
      <c r="AK60">
        <v>672</v>
      </c>
      <c r="AL60">
        <v>750</v>
      </c>
    </row>
    <row r="61" spans="1:38" x14ac:dyDescent="0.2">
      <c r="A61" s="1">
        <v>299.40992087117883</v>
      </c>
      <c r="B61">
        <v>775</v>
      </c>
      <c r="E61" s="1">
        <v>217.51626462849637</v>
      </c>
      <c r="F61">
        <v>775</v>
      </c>
      <c r="I61" s="1">
        <v>182.75021598686982</v>
      </c>
      <c r="J61">
        <v>775</v>
      </c>
      <c r="M61" s="1">
        <v>163.13719847137224</v>
      </c>
      <c r="N61">
        <v>775</v>
      </c>
      <c r="Q61" s="1">
        <v>142.39782107773289</v>
      </c>
      <c r="R61">
        <v>775</v>
      </c>
      <c r="U61" s="1">
        <v>133.20096477400332</v>
      </c>
      <c r="V61">
        <v>775</v>
      </c>
      <c r="Y61">
        <v>333</v>
      </c>
      <c r="Z61">
        <v>775</v>
      </c>
      <c r="AC61">
        <v>383</v>
      </c>
      <c r="AD61">
        <v>775</v>
      </c>
      <c r="AG61">
        <v>466</v>
      </c>
      <c r="AH61">
        <v>775</v>
      </c>
      <c r="AK61">
        <v>656</v>
      </c>
      <c r="AL61">
        <v>775</v>
      </c>
    </row>
    <row r="62" spans="1:38" x14ac:dyDescent="0.2">
      <c r="A62" s="1">
        <v>292.13060864639505</v>
      </c>
      <c r="B62">
        <v>800</v>
      </c>
      <c r="E62" s="1">
        <v>212.22796690077755</v>
      </c>
      <c r="F62">
        <v>800</v>
      </c>
      <c r="I62" s="1">
        <v>178.30715719494867</v>
      </c>
      <c r="J62">
        <v>800</v>
      </c>
      <c r="M62" s="1">
        <v>159.17097517558315</v>
      </c>
      <c r="N62">
        <v>800</v>
      </c>
      <c r="Q62" s="1">
        <v>138.9358175584851</v>
      </c>
      <c r="R62">
        <v>800</v>
      </c>
      <c r="U62" s="1">
        <v>129.96255701379562</v>
      </c>
      <c r="V62">
        <v>800</v>
      </c>
      <c r="Y62">
        <v>325</v>
      </c>
      <c r="Z62">
        <v>800</v>
      </c>
      <c r="AC62">
        <v>373</v>
      </c>
      <c r="AD62">
        <v>800</v>
      </c>
      <c r="AG62">
        <v>455</v>
      </c>
      <c r="AH62">
        <v>800</v>
      </c>
      <c r="AK62">
        <v>640</v>
      </c>
      <c r="AL62">
        <v>800</v>
      </c>
    </row>
    <row r="65" spans="1:39" x14ac:dyDescent="0.2">
      <c r="A65" s="377" t="s">
        <v>12</v>
      </c>
      <c r="B65" s="377"/>
      <c r="C65" s="377"/>
      <c r="E65" s="377" t="s">
        <v>13</v>
      </c>
      <c r="F65" s="377"/>
      <c r="G65" s="377"/>
      <c r="I65" s="377" t="s">
        <v>14</v>
      </c>
      <c r="J65" s="377"/>
      <c r="K65" s="377"/>
      <c r="M65" s="377" t="s">
        <v>15</v>
      </c>
      <c r="N65" s="377"/>
      <c r="O65" s="377"/>
      <c r="Q65" s="377" t="s">
        <v>16</v>
      </c>
      <c r="R65" s="377"/>
      <c r="S65" s="377"/>
      <c r="U65" s="377" t="s">
        <v>17</v>
      </c>
      <c r="V65" s="377"/>
      <c r="W65" s="377"/>
      <c r="Y65" s="377" t="s">
        <v>43</v>
      </c>
      <c r="Z65" s="377"/>
      <c r="AA65" s="377"/>
      <c r="AC65" s="377" t="s">
        <v>44</v>
      </c>
      <c r="AD65" s="377"/>
      <c r="AE65" s="377"/>
      <c r="AG65" s="377" t="s">
        <v>45</v>
      </c>
      <c r="AH65" s="377"/>
      <c r="AI65" s="377"/>
      <c r="AK65" s="377" t="s">
        <v>46</v>
      </c>
      <c r="AL65" s="377"/>
      <c r="AM65" s="377"/>
    </row>
    <row r="66" spans="1:39" x14ac:dyDescent="0.2">
      <c r="A66" s="1">
        <v>500.12971883007452</v>
      </c>
      <c r="B66">
        <v>100</v>
      </c>
      <c r="E66" s="1">
        <v>363.33581717361761</v>
      </c>
      <c r="F66">
        <v>100</v>
      </c>
      <c r="I66" s="1">
        <v>305.26314516135534</v>
      </c>
      <c r="J66">
        <v>100</v>
      </c>
      <c r="M66" s="1">
        <v>272.5018628802132</v>
      </c>
      <c r="N66">
        <v>100</v>
      </c>
      <c r="Q66" s="1">
        <v>237.85912641239128</v>
      </c>
      <c r="R66">
        <v>100</v>
      </c>
      <c r="U66" s="1">
        <v>222.49683933813012</v>
      </c>
      <c r="V66">
        <v>100</v>
      </c>
      <c r="Y66" s="1">
        <v>556.2420983453253</v>
      </c>
      <c r="Z66">
        <v>100</v>
      </c>
      <c r="AC66" s="1">
        <v>638.97368427788251</v>
      </c>
      <c r="AD66">
        <v>100</v>
      </c>
      <c r="AG66" s="1">
        <v>778.5767510863235</v>
      </c>
      <c r="AH66">
        <v>100</v>
      </c>
      <c r="AK66" s="1">
        <v>1095.4987076927796</v>
      </c>
      <c r="AL66">
        <v>100</v>
      </c>
    </row>
    <row r="67" spans="1:39" x14ac:dyDescent="0.2">
      <c r="A67" s="1">
        <v>485.62098143852882</v>
      </c>
      <c r="B67">
        <v>125</v>
      </c>
      <c r="E67" s="1">
        <v>352.79546382559801</v>
      </c>
      <c r="F67">
        <v>125</v>
      </c>
      <c r="I67" s="1">
        <v>296.40747703824547</v>
      </c>
      <c r="J67">
        <v>125</v>
      </c>
      <c r="M67" s="1">
        <v>264.59659786919849</v>
      </c>
      <c r="N67">
        <v>125</v>
      </c>
      <c r="Q67" s="1">
        <v>230.95884540255113</v>
      </c>
      <c r="R67">
        <v>125</v>
      </c>
      <c r="U67" s="1">
        <v>216.04221748530904</v>
      </c>
      <c r="V67">
        <v>125</v>
      </c>
      <c r="Y67" s="1">
        <v>540.1055437132726</v>
      </c>
      <c r="Z67">
        <v>125</v>
      </c>
      <c r="AC67" s="1">
        <v>620.43709059778155</v>
      </c>
      <c r="AD67">
        <v>125</v>
      </c>
      <c r="AG67" s="1">
        <v>755.99027962628156</v>
      </c>
      <c r="AH67">
        <v>125</v>
      </c>
      <c r="AK67" s="1">
        <v>1063.7183465899184</v>
      </c>
      <c r="AL67">
        <v>125</v>
      </c>
    </row>
    <row r="68" spans="1:39" x14ac:dyDescent="0.2">
      <c r="A68" s="1">
        <v>471.69859689978807</v>
      </c>
      <c r="B68">
        <v>150</v>
      </c>
      <c r="E68" s="1">
        <v>342.68108594935069</v>
      </c>
      <c r="F68">
        <v>150</v>
      </c>
      <c r="I68" s="1">
        <v>287.9096998967799</v>
      </c>
      <c r="J68">
        <v>150</v>
      </c>
      <c r="M68" s="1">
        <v>257.010814462013</v>
      </c>
      <c r="N68">
        <v>150</v>
      </c>
      <c r="Q68" s="1">
        <v>224.33743079893824</v>
      </c>
      <c r="R68">
        <v>150</v>
      </c>
      <c r="U68" s="1">
        <v>209.84845126968381</v>
      </c>
      <c r="V68">
        <v>150</v>
      </c>
      <c r="Y68" s="1">
        <v>524.6211281742095</v>
      </c>
      <c r="Z68">
        <v>150</v>
      </c>
      <c r="AC68" s="1">
        <v>602.64963064946539</v>
      </c>
      <c r="AD68">
        <v>150</v>
      </c>
      <c r="AG68" s="1">
        <v>734.31661274860869</v>
      </c>
      <c r="AH68">
        <v>150</v>
      </c>
      <c r="AK68" s="1">
        <v>1033.222349859569</v>
      </c>
      <c r="AL68">
        <v>150</v>
      </c>
    </row>
    <row r="69" spans="1:39" x14ac:dyDescent="0.2">
      <c r="A69" s="1">
        <v>458.32593410326399</v>
      </c>
      <c r="B69">
        <v>175</v>
      </c>
      <c r="E69" s="1">
        <v>332.9660716600016</v>
      </c>
      <c r="F69">
        <v>175</v>
      </c>
      <c r="I69" s="1">
        <v>279.74745528152607</v>
      </c>
      <c r="J69">
        <v>175</v>
      </c>
      <c r="M69" s="1">
        <v>249.7245537450012</v>
      </c>
      <c r="N69">
        <v>175</v>
      </c>
      <c r="Q69" s="1">
        <v>217.97746103343542</v>
      </c>
      <c r="R69">
        <v>175</v>
      </c>
      <c r="U69" s="1">
        <v>203.89924430649566</v>
      </c>
      <c r="V69">
        <v>175</v>
      </c>
      <c r="Y69" s="1">
        <v>509.74811076623911</v>
      </c>
      <c r="Z69">
        <v>175</v>
      </c>
      <c r="AC69" s="1">
        <v>585.5645039433598</v>
      </c>
      <c r="AD69">
        <v>175</v>
      </c>
      <c r="AG69" s="1">
        <v>713.49872498571767</v>
      </c>
      <c r="AH69">
        <v>175</v>
      </c>
      <c r="AK69" s="1">
        <v>1003.9304796498308</v>
      </c>
      <c r="AL69">
        <v>175</v>
      </c>
    </row>
    <row r="70" spans="1:39" x14ac:dyDescent="0.2">
      <c r="A70" s="1">
        <v>445.46962541386705</v>
      </c>
      <c r="B70">
        <v>200</v>
      </c>
      <c r="E70" s="1">
        <v>323.62617993266076</v>
      </c>
      <c r="F70">
        <v>200</v>
      </c>
      <c r="I70" s="1">
        <v>271.90037665786201</v>
      </c>
      <c r="J70">
        <v>200</v>
      </c>
      <c r="M70" s="1">
        <v>242.71963494949557</v>
      </c>
      <c r="N70">
        <v>200</v>
      </c>
      <c r="Q70" s="1">
        <v>211.86306663011669</v>
      </c>
      <c r="R70">
        <v>200</v>
      </c>
      <c r="U70" s="1">
        <v>198.17975206028893</v>
      </c>
      <c r="V70">
        <v>200</v>
      </c>
      <c r="Y70" s="1">
        <v>495.44938015072239</v>
      </c>
      <c r="Z70">
        <v>200</v>
      </c>
      <c r="AC70" s="1">
        <v>569.13907945809979</v>
      </c>
      <c r="AD70">
        <v>200</v>
      </c>
      <c r="AG70" s="1">
        <v>693.48467128427308</v>
      </c>
      <c r="AH70">
        <v>200</v>
      </c>
      <c r="AK70" s="1">
        <v>975.76964652061815</v>
      </c>
      <c r="AL70">
        <v>200</v>
      </c>
    </row>
    <row r="71" spans="1:39" x14ac:dyDescent="0.2">
      <c r="A71" s="1">
        <v>433.09919523704656</v>
      </c>
      <c r="B71">
        <v>225</v>
      </c>
      <c r="E71" s="1">
        <v>314.63927076117966</v>
      </c>
      <c r="F71">
        <v>225</v>
      </c>
      <c r="I71" s="1">
        <v>264.34986269998586</v>
      </c>
      <c r="J71">
        <v>225</v>
      </c>
      <c r="M71" s="1">
        <v>235.97945307088474</v>
      </c>
      <c r="N71">
        <v>225</v>
      </c>
      <c r="Q71" s="1">
        <v>205.97975355268738</v>
      </c>
      <c r="R71">
        <v>225</v>
      </c>
      <c r="U71" s="1">
        <v>192.67641660157219</v>
      </c>
      <c r="V71">
        <v>225</v>
      </c>
      <c r="Y71" s="1">
        <v>481.69104150393048</v>
      </c>
      <c r="Z71">
        <v>225</v>
      </c>
      <c r="AC71" s="1">
        <v>553.33442108931581</v>
      </c>
      <c r="AD71">
        <v>225</v>
      </c>
      <c r="AG71" s="1">
        <v>674.22700877395641</v>
      </c>
      <c r="AH71">
        <v>225</v>
      </c>
      <c r="AK71" s="1">
        <v>948.67309584170312</v>
      </c>
      <c r="AL71">
        <v>225</v>
      </c>
    </row>
    <row r="72" spans="1:39" x14ac:dyDescent="0.2">
      <c r="A72" s="1">
        <v>421.18673929117716</v>
      </c>
      <c r="B72">
        <v>250</v>
      </c>
      <c r="E72" s="1">
        <v>305.9850721549422</v>
      </c>
      <c r="F72">
        <v>250</v>
      </c>
      <c r="I72" s="1">
        <v>257.07888152906349</v>
      </c>
      <c r="J72">
        <v>250</v>
      </c>
      <c r="M72" s="1">
        <v>229.48880411620664</v>
      </c>
      <c r="N72">
        <v>250</v>
      </c>
      <c r="Q72" s="1">
        <v>200.31425066807819</v>
      </c>
      <c r="R72">
        <v>250</v>
      </c>
      <c r="U72" s="1">
        <v>187.3768239220754</v>
      </c>
      <c r="V72">
        <v>250</v>
      </c>
      <c r="Y72" s="1">
        <v>468.44205980518848</v>
      </c>
      <c r="Z72">
        <v>250</v>
      </c>
      <c r="AC72" s="1">
        <v>538.11487788293357</v>
      </c>
      <c r="AD72">
        <v>250</v>
      </c>
      <c r="AG72" s="1">
        <v>655.68229747487612</v>
      </c>
      <c r="AH72">
        <v>250</v>
      </c>
      <c r="AK72" s="1">
        <v>922.57970526160636</v>
      </c>
      <c r="AL72">
        <v>250</v>
      </c>
    </row>
    <row r="73" spans="1:39" x14ac:dyDescent="0.2">
      <c r="A73" s="1">
        <v>409.70664658031001</v>
      </c>
      <c r="B73">
        <v>275</v>
      </c>
      <c r="E73" s="1">
        <v>297.64497815675088</v>
      </c>
      <c r="F73">
        <v>275</v>
      </c>
      <c r="I73" s="1">
        <v>250.07180101431018</v>
      </c>
      <c r="J73">
        <v>275</v>
      </c>
      <c r="M73" s="1">
        <v>223.23373361756319</v>
      </c>
      <c r="N73">
        <v>275</v>
      </c>
      <c r="Q73" s="1">
        <v>194.85437751811267</v>
      </c>
      <c r="R73">
        <v>275</v>
      </c>
      <c r="U73" s="1">
        <v>182.26958024647112</v>
      </c>
      <c r="V73">
        <v>275</v>
      </c>
      <c r="Y73" s="1">
        <v>455.67395061617776</v>
      </c>
      <c r="Z73">
        <v>275</v>
      </c>
      <c r="AC73" s="1">
        <v>523.44772882313782</v>
      </c>
      <c r="AD73">
        <v>275</v>
      </c>
      <c r="AG73" s="1">
        <v>637.81066747875195</v>
      </c>
      <c r="AH73">
        <v>275</v>
      </c>
      <c r="AK73" s="1">
        <v>897.43337570861047</v>
      </c>
      <c r="AL73">
        <v>275</v>
      </c>
    </row>
    <row r="74" spans="1:39" x14ac:dyDescent="0.2">
      <c r="A74" s="1">
        <v>398.63535748710973</v>
      </c>
      <c r="B74">
        <v>300</v>
      </c>
      <c r="E74" s="1">
        <v>289.60187310142021</v>
      </c>
      <c r="F74">
        <v>300</v>
      </c>
      <c r="I74" s="1">
        <v>243.31424112067546</v>
      </c>
      <c r="J74">
        <v>300</v>
      </c>
      <c r="M74" s="1">
        <v>217.20140482606519</v>
      </c>
      <c r="N74">
        <v>300</v>
      </c>
      <c r="Q74" s="1">
        <v>189.58892926975054</v>
      </c>
      <c r="R74">
        <v>300</v>
      </c>
      <c r="U74" s="1">
        <v>177.3442044131811</v>
      </c>
      <c r="V74">
        <v>300</v>
      </c>
      <c r="Y74" s="1">
        <v>443.36051103295284</v>
      </c>
      <c r="Z74">
        <v>300</v>
      </c>
      <c r="AC74" s="1">
        <v>509.30287376806103</v>
      </c>
      <c r="AD74">
        <v>300</v>
      </c>
      <c r="AG74" s="1">
        <v>620.57544236018623</v>
      </c>
      <c r="AH74">
        <v>300</v>
      </c>
      <c r="AK74" s="1">
        <v>873.18250151048096</v>
      </c>
      <c r="AL74">
        <v>300</v>
      </c>
    </row>
    <row r="75" spans="1:39" x14ac:dyDescent="0.2">
      <c r="A75" s="1">
        <v>387.95115255081328</v>
      </c>
      <c r="B75">
        <v>325</v>
      </c>
      <c r="E75" s="1">
        <v>281.83997816652112</v>
      </c>
      <c r="F75">
        <v>325</v>
      </c>
      <c r="I75" s="1">
        <v>236.79294498568123</v>
      </c>
      <c r="J75">
        <v>325</v>
      </c>
      <c r="M75" s="1">
        <v>211.37998362489083</v>
      </c>
      <c r="N75">
        <v>325</v>
      </c>
      <c r="Q75" s="1">
        <v>184.50757625896921</v>
      </c>
      <c r="R75">
        <v>325</v>
      </c>
      <c r="U75" s="1">
        <v>172.59103390628209</v>
      </c>
      <c r="V75">
        <v>325</v>
      </c>
      <c r="Y75" s="1">
        <v>431.47758476570522</v>
      </c>
      <c r="Z75">
        <v>325</v>
      </c>
      <c r="AC75" s="1">
        <v>495.6525635891436</v>
      </c>
      <c r="AD75">
        <v>325</v>
      </c>
      <c r="AG75" s="1">
        <v>603.94281035683105</v>
      </c>
      <c r="AH75">
        <v>325</v>
      </c>
      <c r="AK75" s="1">
        <v>849.77950772755332</v>
      </c>
      <c r="AL75">
        <v>325</v>
      </c>
    </row>
    <row r="76" spans="1:39" x14ac:dyDescent="0.2">
      <c r="A76" s="1">
        <v>377.63396741910884</v>
      </c>
      <c r="B76">
        <v>350</v>
      </c>
      <c r="E76" s="1">
        <v>274.34471693803778</v>
      </c>
      <c r="F76">
        <v>350</v>
      </c>
      <c r="I76" s="1">
        <v>230.49566597198168</v>
      </c>
      <c r="J76">
        <v>350</v>
      </c>
      <c r="M76" s="1">
        <v>205.75853770352833</v>
      </c>
      <c r="N76">
        <v>350</v>
      </c>
      <c r="Q76" s="1">
        <v>179.6007759828274</v>
      </c>
      <c r="R76">
        <v>350</v>
      </c>
      <c r="U76" s="1">
        <v>168.00114253161951</v>
      </c>
      <c r="V76">
        <v>350</v>
      </c>
      <c r="Y76" s="1">
        <v>420.00285632904871</v>
      </c>
      <c r="Z76">
        <v>350</v>
      </c>
      <c r="AC76" s="1">
        <v>482.47116375071084</v>
      </c>
      <c r="AD76">
        <v>350</v>
      </c>
      <c r="AG76" s="1">
        <v>587.88153629579529</v>
      </c>
      <c r="AH76">
        <v>350</v>
      </c>
      <c r="AK76" s="1">
        <v>827.18044481793731</v>
      </c>
      <c r="AL76">
        <v>350</v>
      </c>
    </row>
    <row r="77" spans="1:39" x14ac:dyDescent="0.2">
      <c r="A77" s="1">
        <v>367.66523021259667</v>
      </c>
      <c r="B77">
        <v>375</v>
      </c>
      <c r="E77" s="1">
        <v>267.10259725838768</v>
      </c>
      <c r="F77">
        <v>375</v>
      </c>
      <c r="I77" s="1">
        <v>224.41106839984488</v>
      </c>
      <c r="J77">
        <v>375</v>
      </c>
      <c r="M77" s="1">
        <v>200.32694794379077</v>
      </c>
      <c r="N77">
        <v>375</v>
      </c>
      <c r="Q77" s="1">
        <v>174.859695750838</v>
      </c>
      <c r="R77">
        <v>375</v>
      </c>
      <c r="U77" s="1">
        <v>163.56626806379171</v>
      </c>
      <c r="V77">
        <v>375</v>
      </c>
      <c r="Y77" s="1">
        <v>408.9156701594793</v>
      </c>
      <c r="Z77">
        <v>375</v>
      </c>
      <c r="AC77" s="1">
        <v>469.73494652422102</v>
      </c>
      <c r="AD77">
        <v>375</v>
      </c>
      <c r="AG77" s="1">
        <v>572.36270841083081</v>
      </c>
      <c r="AH77">
        <v>375</v>
      </c>
      <c r="AK77" s="1">
        <v>805.34463239589354</v>
      </c>
      <c r="AL77">
        <v>375</v>
      </c>
    </row>
    <row r="78" spans="1:39" x14ac:dyDescent="0.2">
      <c r="A78" s="1">
        <v>358.02771815191494</v>
      </c>
      <c r="B78">
        <v>400</v>
      </c>
      <c r="E78" s="1">
        <v>260.10110706844335</v>
      </c>
      <c r="F78">
        <v>400</v>
      </c>
      <c r="I78" s="1">
        <v>218.52864003694694</v>
      </c>
      <c r="J78">
        <v>400</v>
      </c>
      <c r="M78" s="1">
        <v>195.07583030133247</v>
      </c>
      <c r="N78">
        <v>400</v>
      </c>
      <c r="Q78" s="1">
        <v>170.27614449756501</v>
      </c>
      <c r="R78">
        <v>400</v>
      </c>
      <c r="U78" s="1">
        <v>159.27874846267528</v>
      </c>
      <c r="V78">
        <v>400</v>
      </c>
      <c r="Y78" s="1">
        <v>398.19687115668819</v>
      </c>
      <c r="Z78">
        <v>400</v>
      </c>
      <c r="AC78" s="1">
        <v>457.42190781280095</v>
      </c>
      <c r="AD78">
        <v>400</v>
      </c>
      <c r="AG78" s="1">
        <v>557.35951514666431</v>
      </c>
      <c r="AH78">
        <v>400</v>
      </c>
      <c r="AK78" s="1">
        <v>784.23434518371209</v>
      </c>
      <c r="AL78">
        <v>400</v>
      </c>
    </row>
    <row r="79" spans="1:39" x14ac:dyDescent="0.2">
      <c r="A79" s="1">
        <v>348.70543079864387</v>
      </c>
      <c r="B79">
        <v>425</v>
      </c>
      <c r="E79" s="1">
        <v>253.32862231918401</v>
      </c>
      <c r="F79">
        <v>425</v>
      </c>
      <c r="I79" s="1">
        <v>212.83861472868421</v>
      </c>
      <c r="J79">
        <v>425</v>
      </c>
      <c r="M79" s="1">
        <v>189.99646673938801</v>
      </c>
      <c r="N79">
        <v>425</v>
      </c>
      <c r="Q79" s="1">
        <v>165.84251249664862</v>
      </c>
      <c r="R79">
        <v>425</v>
      </c>
      <c r="U79" s="1">
        <v>155.13146548105874</v>
      </c>
      <c r="V79">
        <v>425</v>
      </c>
      <c r="Y79" s="1">
        <v>387.82866370264679</v>
      </c>
      <c r="Z79">
        <v>425</v>
      </c>
      <c r="AC79" s="1">
        <v>445.51160520180849</v>
      </c>
      <c r="AD79">
        <v>425</v>
      </c>
      <c r="AG79" s="1">
        <v>542.84704782682297</v>
      </c>
      <c r="AH79">
        <v>425</v>
      </c>
      <c r="AK79" s="1">
        <v>763.81453535489629</v>
      </c>
      <c r="AL79">
        <v>425</v>
      </c>
    </row>
    <row r="80" spans="1:39" x14ac:dyDescent="0.2">
      <c r="A80" s="1">
        <v>339.6834776735742</v>
      </c>
      <c r="B80">
        <v>450</v>
      </c>
      <c r="E80" s="1">
        <v>246.77432532826074</v>
      </c>
      <c r="F80">
        <v>450</v>
      </c>
      <c r="I80" s="1">
        <v>207.33190380396746</v>
      </c>
      <c r="J80">
        <v>450</v>
      </c>
      <c r="M80" s="1">
        <v>185.08074399619557</v>
      </c>
      <c r="N80">
        <v>450</v>
      </c>
      <c r="Q80" s="1">
        <v>161.55171791263047</v>
      </c>
      <c r="R80">
        <v>450</v>
      </c>
      <c r="U80" s="1">
        <v>151.11779466845343</v>
      </c>
      <c r="V80">
        <v>450</v>
      </c>
      <c r="Y80" s="1">
        <v>377.79448667113365</v>
      </c>
      <c r="Z80">
        <v>450</v>
      </c>
      <c r="AC80" s="1">
        <v>433.98501437814514</v>
      </c>
      <c r="AD80">
        <v>450</v>
      </c>
      <c r="AG80" s="1">
        <v>528.80212570341587</v>
      </c>
      <c r="AH80">
        <v>450</v>
      </c>
      <c r="AK80" s="1">
        <v>744.05258636994381</v>
      </c>
      <c r="AL80">
        <v>450</v>
      </c>
    </row>
    <row r="81" spans="1:38" x14ac:dyDescent="0.2">
      <c r="A81" s="1">
        <v>330.94797835699057</v>
      </c>
      <c r="B81">
        <v>475</v>
      </c>
      <c r="E81" s="1">
        <v>240.42813220453462</v>
      </c>
      <c r="F81">
        <v>475</v>
      </c>
      <c r="I81" s="1">
        <v>202.00003509963793</v>
      </c>
      <c r="J81">
        <v>475</v>
      </c>
      <c r="M81" s="1">
        <v>180.32109915340098</v>
      </c>
      <c r="N81">
        <v>475</v>
      </c>
      <c r="Q81" s="1">
        <v>157.39715928916141</v>
      </c>
      <c r="R81">
        <v>475</v>
      </c>
      <c r="U81" s="1">
        <v>147.23156092788139</v>
      </c>
      <c r="V81">
        <v>475</v>
      </c>
      <c r="Y81" s="1">
        <v>368.07890231970345</v>
      </c>
      <c r="Z81">
        <v>475</v>
      </c>
      <c r="AC81" s="1">
        <v>422.82440149678814</v>
      </c>
      <c r="AD81">
        <v>475</v>
      </c>
      <c r="AG81" s="1">
        <v>515.20314043828853</v>
      </c>
      <c r="AH81">
        <v>475</v>
      </c>
      <c r="AK81" s="1">
        <v>724.91809415309547</v>
      </c>
      <c r="AL81">
        <v>475</v>
      </c>
    </row>
    <row r="82" spans="1:38" x14ac:dyDescent="0.2">
      <c r="A82" s="1">
        <v>322.48597345882962</v>
      </c>
      <c r="B82">
        <v>500</v>
      </c>
      <c r="E82" s="1">
        <v>234.28062816939635</v>
      </c>
      <c r="F82">
        <v>500</v>
      </c>
      <c r="I82" s="1">
        <v>196.83509861950634</v>
      </c>
      <c r="J82">
        <v>500</v>
      </c>
      <c r="M82" s="1">
        <v>175.71047112704724</v>
      </c>
      <c r="N82">
        <v>500</v>
      </c>
      <c r="Q82" s="1">
        <v>153.37267320686604</v>
      </c>
      <c r="R82">
        <v>500</v>
      </c>
      <c r="U82" s="1">
        <v>143.46699890843402</v>
      </c>
      <c r="V82">
        <v>500</v>
      </c>
      <c r="Y82" s="1">
        <v>358.66749727108498</v>
      </c>
      <c r="Z82">
        <v>500</v>
      </c>
      <c r="AC82" s="1">
        <v>412.01320943484933</v>
      </c>
      <c r="AD82">
        <v>500</v>
      </c>
      <c r="AG82" s="1">
        <v>502.02991750584931</v>
      </c>
      <c r="AH82">
        <v>500</v>
      </c>
      <c r="AK82" s="1">
        <v>706.38267207877766</v>
      </c>
      <c r="AL82">
        <v>500</v>
      </c>
    </row>
    <row r="83" spans="1:38" x14ac:dyDescent="0.2">
      <c r="A83" s="1">
        <v>314.28534508269405</v>
      </c>
      <c r="B83">
        <v>525</v>
      </c>
      <c r="E83" s="1">
        <v>228.32300977521186</v>
      </c>
      <c r="F83">
        <v>525</v>
      </c>
      <c r="I83" s="1">
        <v>191.82969798813707</v>
      </c>
      <c r="J83">
        <v>525</v>
      </c>
      <c r="M83" s="1">
        <v>171.24225733140889</v>
      </c>
      <c r="N83">
        <v>525</v>
      </c>
      <c r="Q83" s="1">
        <v>149.47249645643581</v>
      </c>
      <c r="R83">
        <v>525</v>
      </c>
      <c r="U83" s="1">
        <v>139.81871762144118</v>
      </c>
      <c r="V83">
        <v>525</v>
      </c>
      <c r="Y83" s="1">
        <v>349.54679405360298</v>
      </c>
      <c r="Z83">
        <v>525</v>
      </c>
      <c r="AC83" s="1">
        <v>401.53595617513366</v>
      </c>
      <c r="AD83">
        <v>525</v>
      </c>
      <c r="AG83" s="1">
        <v>489.26359237545398</v>
      </c>
      <c r="AH83">
        <v>525</v>
      </c>
      <c r="AK83" s="1">
        <v>688.41977675366002</v>
      </c>
      <c r="AL83">
        <v>525</v>
      </c>
    </row>
    <row r="84" spans="1:38" x14ac:dyDescent="0.2">
      <c r="A84" s="1">
        <v>306.33474560532454</v>
      </c>
      <c r="B84">
        <v>550</v>
      </c>
      <c r="E84" s="1">
        <v>222.54703316480837</v>
      </c>
      <c r="F84">
        <v>550</v>
      </c>
      <c r="I84" s="1">
        <v>186.97690698012127</v>
      </c>
      <c r="J84">
        <v>550</v>
      </c>
      <c r="M84" s="1">
        <v>166.91027487360626</v>
      </c>
      <c r="N84">
        <v>550</v>
      </c>
      <c r="Q84" s="1">
        <v>145.69123216651172</v>
      </c>
      <c r="R84">
        <v>550</v>
      </c>
      <c r="U84" s="1">
        <v>136.28166875600647</v>
      </c>
      <c r="V84">
        <v>550</v>
      </c>
      <c r="Y84" s="1">
        <v>340.70417189001614</v>
      </c>
      <c r="Z84">
        <v>550</v>
      </c>
      <c r="AC84" s="1">
        <v>391.37814381365973</v>
      </c>
      <c r="AD84">
        <v>550</v>
      </c>
      <c r="AG84" s="1">
        <v>476.88649963887502</v>
      </c>
      <c r="AH84">
        <v>550</v>
      </c>
      <c r="AK84" s="1">
        <v>671.00455201313514</v>
      </c>
      <c r="AL84">
        <v>550</v>
      </c>
    </row>
    <row r="85" spans="1:38" x14ac:dyDescent="0.2">
      <c r="A85" s="1">
        <v>298.62353375914154</v>
      </c>
      <c r="B85">
        <v>575</v>
      </c>
      <c r="E85" s="1">
        <v>216.94496763651745</v>
      </c>
      <c r="F85">
        <v>575</v>
      </c>
      <c r="I85" s="1">
        <v>182.27023050690994</v>
      </c>
      <c r="J85">
        <v>575</v>
      </c>
      <c r="M85" s="1">
        <v>162.70872572738807</v>
      </c>
      <c r="N85">
        <v>575</v>
      </c>
      <c r="Q85" s="1">
        <v>142.02381940486947</v>
      </c>
      <c r="R85">
        <v>575</v>
      </c>
      <c r="U85" s="1">
        <v>132.85111824351952</v>
      </c>
      <c r="V85">
        <v>575</v>
      </c>
      <c r="Y85" s="1">
        <v>332.12779560879881</v>
      </c>
      <c r="Z85">
        <v>575</v>
      </c>
      <c r="AC85" s="1">
        <v>381.52617689769869</v>
      </c>
      <c r="AD85">
        <v>575</v>
      </c>
      <c r="AG85" s="1">
        <v>464.88207350682313</v>
      </c>
      <c r="AH85">
        <v>575</v>
      </c>
      <c r="AK85" s="1">
        <v>654.11368891465793</v>
      </c>
      <c r="AL85">
        <v>575</v>
      </c>
    </row>
    <row r="86" spans="1:38" x14ac:dyDescent="0.2">
      <c r="A86" s="1">
        <v>291.14171714542277</v>
      </c>
      <c r="B86">
        <v>600</v>
      </c>
      <c r="E86" s="1">
        <v>211.50955388096682</v>
      </c>
      <c r="F86">
        <v>600</v>
      </c>
      <c r="I86" s="1">
        <v>177.70356952870026</v>
      </c>
      <c r="J86">
        <v>600</v>
      </c>
      <c r="M86" s="1">
        <v>158.63216541072512</v>
      </c>
      <c r="N86">
        <v>600</v>
      </c>
      <c r="Q86" s="1">
        <v>138.46550583798162</v>
      </c>
      <c r="R86">
        <v>600</v>
      </c>
      <c r="U86" s="1">
        <v>129.52262068301854</v>
      </c>
      <c r="V86">
        <v>600</v>
      </c>
      <c r="Y86" s="1">
        <v>323.80655170754636</v>
      </c>
      <c r="Z86">
        <v>600</v>
      </c>
      <c r="AC86" s="1">
        <v>371.96728897969507</v>
      </c>
      <c r="AD86">
        <v>600</v>
      </c>
      <c r="AG86" s="1">
        <v>453.2347583163575</v>
      </c>
      <c r="AH86">
        <v>600</v>
      </c>
      <c r="AK86" s="1">
        <v>637.72529981693253</v>
      </c>
      <c r="AL86">
        <v>600</v>
      </c>
    </row>
    <row r="87" spans="1:38" x14ac:dyDescent="0.2">
      <c r="A87" s="1">
        <v>283.8799004240779</v>
      </c>
      <c r="B87">
        <v>625</v>
      </c>
      <c r="E87" s="1">
        <v>206.2339663418241</v>
      </c>
      <c r="F87">
        <v>625</v>
      </c>
      <c r="I87" s="1">
        <v>173.27118943113553</v>
      </c>
      <c r="J87">
        <v>625</v>
      </c>
      <c r="M87" s="1">
        <v>154.67547475636809</v>
      </c>
      <c r="N87">
        <v>625</v>
      </c>
      <c r="Q87" s="1">
        <v>135.01182309034056</v>
      </c>
      <c r="R87">
        <v>625</v>
      </c>
      <c r="U87" s="1">
        <v>126.29199629194734</v>
      </c>
      <c r="V87">
        <v>625</v>
      </c>
      <c r="Y87" s="1">
        <v>315.72999072986835</v>
      </c>
      <c r="Z87">
        <v>625</v>
      </c>
      <c r="AC87" s="1">
        <v>362.68947642369892</v>
      </c>
      <c r="AD87">
        <v>625</v>
      </c>
      <c r="AG87" s="1">
        <v>441.92992787533734</v>
      </c>
      <c r="AH87">
        <v>625</v>
      </c>
      <c r="AK87" s="1">
        <v>621.81880489328626</v>
      </c>
      <c r="AL87">
        <v>625</v>
      </c>
    </row>
    <row r="88" spans="1:38" x14ac:dyDescent="0.2">
      <c r="A88" s="1">
        <v>276.82923852644956</v>
      </c>
      <c r="B88">
        <v>650</v>
      </c>
      <c r="E88" s="1">
        <v>201.11177922568501</v>
      </c>
      <c r="F88">
        <v>650</v>
      </c>
      <c r="I88" s="1">
        <v>168.96769146789887</v>
      </c>
      <c r="J88">
        <v>650</v>
      </c>
      <c r="M88" s="1">
        <v>150.83383441926375</v>
      </c>
      <c r="N88">
        <v>650</v>
      </c>
      <c r="Q88" s="1">
        <v>131.658564492707</v>
      </c>
      <c r="R88">
        <v>650</v>
      </c>
      <c r="U88" s="1">
        <v>123.15531009154762</v>
      </c>
      <c r="V88">
        <v>650</v>
      </c>
      <c r="Y88" s="1">
        <v>307.88827522886908</v>
      </c>
      <c r="Z88">
        <v>650</v>
      </c>
      <c r="AC88" s="1">
        <v>353.68143862929628</v>
      </c>
      <c r="AD88">
        <v>650</v>
      </c>
      <c r="AG88" s="1">
        <v>430.95381262646788</v>
      </c>
      <c r="AH88">
        <v>650</v>
      </c>
      <c r="AK88" s="1">
        <v>606.37482964762637</v>
      </c>
      <c r="AL88">
        <v>650</v>
      </c>
    </row>
    <row r="89" spans="1:38" x14ac:dyDescent="0.2">
      <c r="A89" s="1">
        <v>269.98139432311962</v>
      </c>
      <c r="B89">
        <v>675</v>
      </c>
      <c r="E89" s="1">
        <v>196.13693574844734</v>
      </c>
      <c r="F89">
        <v>675</v>
      </c>
      <c r="I89" s="1">
        <v>164.78798692249933</v>
      </c>
      <c r="J89">
        <v>675</v>
      </c>
      <c r="M89" s="1">
        <v>147.10270181133549</v>
      </c>
      <c r="N89">
        <v>675</v>
      </c>
      <c r="Q89" s="1">
        <v>128.40176494913572</v>
      </c>
      <c r="R89">
        <v>675</v>
      </c>
      <c r="U89" s="1">
        <v>120.10885307418626</v>
      </c>
      <c r="V89">
        <v>675</v>
      </c>
      <c r="Y89" s="1">
        <v>300.27213268546564</v>
      </c>
      <c r="Z89">
        <v>675</v>
      </c>
      <c r="AC89" s="1">
        <v>344.93252394732485</v>
      </c>
      <c r="AD89">
        <v>675</v>
      </c>
      <c r="AG89" s="1">
        <v>420.29343374667292</v>
      </c>
      <c r="AH89">
        <v>675</v>
      </c>
      <c r="AK89" s="1">
        <v>591.37511218876796</v>
      </c>
      <c r="AL89">
        <v>675</v>
      </c>
    </row>
    <row r="90" spans="1:38" x14ac:dyDescent="0.2">
      <c r="A90" s="1">
        <v>263.32850025174952</v>
      </c>
      <c r="B90">
        <v>700</v>
      </c>
      <c r="E90" s="1">
        <v>191.30372025858347</v>
      </c>
      <c r="F90">
        <v>700</v>
      </c>
      <c r="I90" s="1">
        <v>160.72727368713609</v>
      </c>
      <c r="J90">
        <v>700</v>
      </c>
      <c r="M90" s="1">
        <v>143.47779019393761</v>
      </c>
      <c r="N90">
        <v>700</v>
      </c>
      <c r="Q90" s="1">
        <v>125.23768268737369</v>
      </c>
      <c r="R90">
        <v>700</v>
      </c>
      <c r="U90" s="1">
        <v>117.14912513241568</v>
      </c>
      <c r="V90">
        <v>700</v>
      </c>
      <c r="Y90" s="1">
        <v>292.8728128310392</v>
      </c>
      <c r="Z90">
        <v>700</v>
      </c>
      <c r="AC90" s="1">
        <v>336.43268065499262</v>
      </c>
      <c r="AD90">
        <v>700</v>
      </c>
      <c r="AG90" s="1">
        <v>409.93654341125034</v>
      </c>
      <c r="AH90">
        <v>700</v>
      </c>
      <c r="AK90" s="1">
        <v>576.80241917893864</v>
      </c>
      <c r="AL90">
        <v>700</v>
      </c>
    </row>
    <row r="91" spans="1:38" x14ac:dyDescent="0.2">
      <c r="A91" s="1">
        <v>256.86312347254199</v>
      </c>
      <c r="B91">
        <v>725</v>
      </c>
      <c r="E91" s="1">
        <v>186.60673292317017</v>
      </c>
      <c r="F91">
        <v>725</v>
      </c>
      <c r="I91" s="1">
        <v>156.78101499470947</v>
      </c>
      <c r="J91">
        <v>725</v>
      </c>
      <c r="M91" s="1">
        <v>139.9550496923776</v>
      </c>
      <c r="N91">
        <v>725</v>
      </c>
      <c r="Q91" s="1">
        <v>122.16278268697648</v>
      </c>
      <c r="R91">
        <v>725</v>
      </c>
      <c r="U91" s="1">
        <v>114.27281955739632</v>
      </c>
      <c r="V91">
        <v>725</v>
      </c>
      <c r="Y91" s="1">
        <v>285.68204889349079</v>
      </c>
      <c r="Z91">
        <v>725</v>
      </c>
      <c r="AC91" s="1">
        <v>328.17241243794126</v>
      </c>
      <c r="AD91">
        <v>725</v>
      </c>
      <c r="AG91" s="1">
        <v>399.87157054965036</v>
      </c>
      <c r="AH91">
        <v>725</v>
      </c>
      <c r="AK91" s="1">
        <v>562.64046950928662</v>
      </c>
      <c r="AL91">
        <v>725</v>
      </c>
    </row>
    <row r="92" spans="1:38" x14ac:dyDescent="0.2">
      <c r="A92" s="1">
        <v>250.57823417265402</v>
      </c>
      <c r="B92">
        <v>750</v>
      </c>
      <c r="E92" s="1">
        <v>182.04086670157818</v>
      </c>
      <c r="F92">
        <v>750</v>
      </c>
      <c r="I92" s="1">
        <v>152.94492007285061</v>
      </c>
      <c r="J92">
        <v>750</v>
      </c>
      <c r="M92" s="1">
        <v>136.53065002618362</v>
      </c>
      <c r="N92">
        <v>750</v>
      </c>
      <c r="Q92" s="1">
        <v>119.17372160504974</v>
      </c>
      <c r="R92">
        <v>750</v>
      </c>
      <c r="U92" s="1">
        <v>111.47680893821889</v>
      </c>
      <c r="V92">
        <v>750</v>
      </c>
      <c r="Y92" s="1">
        <v>278.69202234554723</v>
      </c>
      <c r="Z92">
        <v>750</v>
      </c>
      <c r="AC92" s="1">
        <v>320.14273789546019</v>
      </c>
      <c r="AD92">
        <v>750</v>
      </c>
      <c r="AG92" s="1">
        <v>390.08757150338187</v>
      </c>
      <c r="AH92">
        <v>750</v>
      </c>
      <c r="AK92" s="1">
        <v>548.87386487294282</v>
      </c>
      <c r="AL92">
        <v>750</v>
      </c>
    </row>
    <row r="93" spans="1:38" x14ac:dyDescent="0.2">
      <c r="A93" s="1">
        <v>244.46717668715851</v>
      </c>
      <c r="B93">
        <v>775</v>
      </c>
      <c r="E93" s="1">
        <v>177.60128636533776</v>
      </c>
      <c r="F93">
        <v>775</v>
      </c>
      <c r="I93" s="1">
        <v>149.21492651708266</v>
      </c>
      <c r="J93">
        <v>775</v>
      </c>
      <c r="M93" s="1">
        <v>133.2009647740033</v>
      </c>
      <c r="N93">
        <v>775</v>
      </c>
      <c r="Q93" s="1">
        <v>116.26733404152698</v>
      </c>
      <c r="R93">
        <v>775</v>
      </c>
      <c r="U93" s="1">
        <v>108.75813231424819</v>
      </c>
      <c r="V93">
        <v>775</v>
      </c>
      <c r="Y93" s="1">
        <v>271.89533078562044</v>
      </c>
      <c r="Z93">
        <v>775</v>
      </c>
      <c r="AC93" s="1">
        <v>312.3351536441678</v>
      </c>
      <c r="AD93">
        <v>775</v>
      </c>
      <c r="AG93" s="1">
        <v>380.5741850685809</v>
      </c>
      <c r="AH93">
        <v>775</v>
      </c>
      <c r="AK93" s="1">
        <v>535.48802650753419</v>
      </c>
      <c r="AL93">
        <v>775</v>
      </c>
    </row>
    <row r="94" spans="1:38" x14ac:dyDescent="0.2">
      <c r="A94" s="1">
        <v>238.52364314411716</v>
      </c>
      <c r="B94">
        <v>800</v>
      </c>
      <c r="E94" s="1">
        <v>173.28340935172747</v>
      </c>
      <c r="F94">
        <v>800</v>
      </c>
      <c r="I94" s="1">
        <v>145.58718420461818</v>
      </c>
      <c r="J94">
        <v>800</v>
      </c>
      <c r="M94" s="1">
        <v>129.96255701379559</v>
      </c>
      <c r="N94">
        <v>800</v>
      </c>
      <c r="Q94" s="1">
        <v>113.4406200049014</v>
      </c>
      <c r="R94">
        <v>800</v>
      </c>
      <c r="U94" s="1">
        <v>106.11398345038877</v>
      </c>
      <c r="V94">
        <v>800</v>
      </c>
      <c r="Y94" s="1">
        <v>265.28495862597197</v>
      </c>
      <c r="Z94">
        <v>800</v>
      </c>
      <c r="AC94" s="1">
        <v>304.74160064653705</v>
      </c>
      <c r="AD94">
        <v>800</v>
      </c>
      <c r="AG94" s="1">
        <v>371.32159146798745</v>
      </c>
      <c r="AH94">
        <v>800</v>
      </c>
      <c r="AK94" s="1">
        <v>522.46913746658379</v>
      </c>
      <c r="AL94">
        <v>800</v>
      </c>
    </row>
    <row r="97" spans="1:39" x14ac:dyDescent="0.2">
      <c r="A97" s="377" t="s">
        <v>22</v>
      </c>
      <c r="B97" s="377"/>
      <c r="C97" s="377"/>
      <c r="E97" s="377" t="s">
        <v>23</v>
      </c>
      <c r="F97" s="377"/>
      <c r="G97" s="377"/>
      <c r="I97" s="377" t="s">
        <v>24</v>
      </c>
      <c r="J97" s="377"/>
      <c r="K97" s="377"/>
      <c r="M97" s="377" t="s">
        <v>25</v>
      </c>
      <c r="N97" s="377"/>
      <c r="O97" s="377"/>
      <c r="Q97" s="377" t="s">
        <v>47</v>
      </c>
      <c r="R97" s="377"/>
      <c r="S97" s="377"/>
      <c r="U97" s="377" t="s">
        <v>48</v>
      </c>
      <c r="V97" s="377"/>
      <c r="W97" s="377"/>
      <c r="Y97" s="377" t="s">
        <v>49</v>
      </c>
      <c r="Z97" s="377"/>
      <c r="AA97" s="377"/>
      <c r="AC97" s="377" t="s">
        <v>50</v>
      </c>
      <c r="AD97" s="377"/>
      <c r="AE97" s="377"/>
      <c r="AG97" s="377" t="s">
        <v>21</v>
      </c>
      <c r="AH97" s="377"/>
      <c r="AI97" s="377"/>
      <c r="AK97" s="377" t="s">
        <v>18</v>
      </c>
      <c r="AL97" s="377"/>
      <c r="AM97" s="377"/>
    </row>
    <row r="98" spans="1:39" x14ac:dyDescent="0.2">
      <c r="A98" s="1">
        <v>758.48427275139568</v>
      </c>
      <c r="B98">
        <v>100</v>
      </c>
      <c r="E98" s="1">
        <v>551.02604919804571</v>
      </c>
      <c r="F98">
        <v>100</v>
      </c>
      <c r="I98" s="1">
        <v>462.95448148359708</v>
      </c>
      <c r="J98">
        <v>100</v>
      </c>
      <c r="M98" s="1">
        <v>413.26953689853434</v>
      </c>
      <c r="N98">
        <v>100</v>
      </c>
      <c r="Q98" s="1">
        <v>360.73122576321509</v>
      </c>
      <c r="R98">
        <v>100</v>
      </c>
      <c r="U98" s="1">
        <v>337.43316387923795</v>
      </c>
      <c r="V98">
        <v>100</v>
      </c>
      <c r="Y98" s="1">
        <v>843.58290969809502</v>
      </c>
      <c r="Z98">
        <v>100</v>
      </c>
      <c r="AC98" s="1">
        <v>969.0515719811807</v>
      </c>
      <c r="AD98">
        <v>100</v>
      </c>
      <c r="AG98" s="1">
        <v>1180.7701054243837</v>
      </c>
      <c r="AH98">
        <v>100</v>
      </c>
      <c r="AK98" s="1">
        <v>1661.406049910757</v>
      </c>
      <c r="AL98">
        <v>100</v>
      </c>
    </row>
    <row r="99" spans="1:39" x14ac:dyDescent="0.2">
      <c r="A99" s="1">
        <v>736.48068305328673</v>
      </c>
      <c r="B99">
        <v>125</v>
      </c>
      <c r="E99" s="1">
        <v>535.04081188318082</v>
      </c>
      <c r="F99">
        <v>125</v>
      </c>
      <c r="I99" s="1">
        <v>449.52419581331708</v>
      </c>
      <c r="J99">
        <v>125</v>
      </c>
      <c r="M99" s="1">
        <v>401.28060891238562</v>
      </c>
      <c r="N99">
        <v>125</v>
      </c>
      <c r="Q99" s="1">
        <v>350.26643147790065</v>
      </c>
      <c r="R99">
        <v>125</v>
      </c>
      <c r="U99" s="1">
        <v>327.64424516955887</v>
      </c>
      <c r="V99">
        <v>125</v>
      </c>
      <c r="Y99" s="1">
        <v>819.11061292389718</v>
      </c>
      <c r="Z99">
        <v>125</v>
      </c>
      <c r="AC99" s="1">
        <v>940.93943577454093</v>
      </c>
      <c r="AD99">
        <v>125</v>
      </c>
      <c r="AG99" s="1">
        <v>1146.5160254639591</v>
      </c>
      <c r="AH99">
        <v>125</v>
      </c>
      <c r="AK99" s="1">
        <v>1613.2087459487614</v>
      </c>
      <c r="AL99">
        <v>125</v>
      </c>
    </row>
    <row r="100" spans="1:39" x14ac:dyDescent="0.2">
      <c r="A100" s="1">
        <v>715.36634148499468</v>
      </c>
      <c r="B100">
        <v>150</v>
      </c>
      <c r="E100" s="1">
        <v>519.70159835724996</v>
      </c>
      <c r="F100">
        <v>150</v>
      </c>
      <c r="I100" s="1">
        <v>436.63667869030866</v>
      </c>
      <c r="J100">
        <v>150</v>
      </c>
      <c r="M100" s="1">
        <v>389.77619876793744</v>
      </c>
      <c r="N100">
        <v>150</v>
      </c>
      <c r="Q100" s="1">
        <v>340.22455903737659</v>
      </c>
      <c r="R100">
        <v>150</v>
      </c>
      <c r="U100" s="1">
        <v>318.25093362102672</v>
      </c>
      <c r="V100">
        <v>150</v>
      </c>
      <c r="Y100" s="1">
        <v>795.62733405256677</v>
      </c>
      <c r="Z100">
        <v>150</v>
      </c>
      <c r="AC100" s="1">
        <v>913.96341712371338</v>
      </c>
      <c r="AD100">
        <v>150</v>
      </c>
      <c r="AG100" s="1">
        <v>1113.646282194107</v>
      </c>
      <c r="AH100">
        <v>150</v>
      </c>
      <c r="AK100" s="1">
        <v>1566.9592769990732</v>
      </c>
      <c r="AL100">
        <v>150</v>
      </c>
    </row>
    <row r="101" spans="1:39" x14ac:dyDescent="0.2">
      <c r="A101" s="1">
        <v>695.08569421672587</v>
      </c>
      <c r="B101">
        <v>175</v>
      </c>
      <c r="E101" s="1">
        <v>504.96804969858698</v>
      </c>
      <c r="F101">
        <v>175</v>
      </c>
      <c r="I101" s="1">
        <v>424.25802183803859</v>
      </c>
      <c r="J101">
        <v>175</v>
      </c>
      <c r="M101" s="1">
        <v>378.72603727394022</v>
      </c>
      <c r="N101">
        <v>175</v>
      </c>
      <c r="Q101" s="1">
        <v>330.57918732542822</v>
      </c>
      <c r="R101">
        <v>175</v>
      </c>
      <c r="U101" s="1">
        <v>309.22851454247871</v>
      </c>
      <c r="V101">
        <v>175</v>
      </c>
      <c r="Y101" s="1">
        <v>773.07128635619677</v>
      </c>
      <c r="Z101">
        <v>175</v>
      </c>
      <c r="AC101" s="1">
        <v>888.05253957206605</v>
      </c>
      <c r="AD101">
        <v>175</v>
      </c>
      <c r="AG101" s="1">
        <v>1082.0743922112579</v>
      </c>
      <c r="AH101">
        <v>175</v>
      </c>
      <c r="AK101" s="1">
        <v>1522.5359563343193</v>
      </c>
      <c r="AL101">
        <v>175</v>
      </c>
    </row>
    <row r="102" spans="1:39" x14ac:dyDescent="0.2">
      <c r="A102" s="1">
        <v>675.58813672433098</v>
      </c>
      <c r="B102">
        <v>200</v>
      </c>
      <c r="E102" s="1">
        <v>490.80340257271638</v>
      </c>
      <c r="F102">
        <v>200</v>
      </c>
      <c r="I102" s="1">
        <v>412.35733787745386</v>
      </c>
      <c r="J102">
        <v>200</v>
      </c>
      <c r="M102" s="1">
        <v>368.1025519295373</v>
      </c>
      <c r="N102">
        <v>200</v>
      </c>
      <c r="Q102" s="1">
        <v>321.30624909019383</v>
      </c>
      <c r="R102">
        <v>200</v>
      </c>
      <c r="U102" s="1">
        <v>300.55447508123791</v>
      </c>
      <c r="V102">
        <v>200</v>
      </c>
      <c r="Y102" s="1">
        <v>751.38618770309483</v>
      </c>
      <c r="Z102">
        <v>200</v>
      </c>
      <c r="AC102" s="1">
        <v>863.14214997458578</v>
      </c>
      <c r="AD102">
        <v>200</v>
      </c>
      <c r="AG102" s="1">
        <v>1051.721576941535</v>
      </c>
      <c r="AH102">
        <v>200</v>
      </c>
      <c r="AK102" s="1">
        <v>1479.8279383304111</v>
      </c>
      <c r="AL102">
        <v>200</v>
      </c>
    </row>
    <row r="103" spans="1:39" x14ac:dyDescent="0.2">
      <c r="A103" s="1">
        <v>656.82745048029767</v>
      </c>
      <c r="B103">
        <v>225</v>
      </c>
      <c r="E103" s="1">
        <v>477.17407999784723</v>
      </c>
      <c r="F103">
        <v>225</v>
      </c>
      <c r="I103" s="1">
        <v>400.90641650122433</v>
      </c>
      <c r="J103">
        <v>225</v>
      </c>
      <c r="M103" s="1">
        <v>357.88055999838542</v>
      </c>
      <c r="N103">
        <v>225</v>
      </c>
      <c r="Q103" s="1">
        <v>312.38376303729268</v>
      </c>
      <c r="R103">
        <v>225</v>
      </c>
      <c r="U103" s="1">
        <v>292.20825361918162</v>
      </c>
      <c r="V103">
        <v>225</v>
      </c>
      <c r="Y103" s="1">
        <v>730.52063404795399</v>
      </c>
      <c r="Z103">
        <v>225</v>
      </c>
      <c r="AC103" s="1">
        <v>839.17319880533057</v>
      </c>
      <c r="AD103">
        <v>225</v>
      </c>
      <c r="AG103" s="1">
        <v>1022.5158857096726</v>
      </c>
      <c r="AH103">
        <v>225</v>
      </c>
      <c r="AK103" s="1">
        <v>1438.7339845780825</v>
      </c>
      <c r="AL103">
        <v>225</v>
      </c>
    </row>
    <row r="104" spans="1:39" x14ac:dyDescent="0.2">
      <c r="A104" s="1">
        <v>638.7613165462418</v>
      </c>
      <c r="B104">
        <v>250</v>
      </c>
      <c r="E104" s="1">
        <v>464.04933797801061</v>
      </c>
      <c r="F104">
        <v>250</v>
      </c>
      <c r="I104" s="1">
        <v>389.87942758619465</v>
      </c>
      <c r="J104">
        <v>250</v>
      </c>
      <c r="M104" s="1">
        <v>348.03700348350793</v>
      </c>
      <c r="N104">
        <v>250</v>
      </c>
      <c r="Q104" s="1">
        <v>303.79160249691137</v>
      </c>
      <c r="R104">
        <v>250</v>
      </c>
      <c r="U104" s="1">
        <v>284.17102338061534</v>
      </c>
      <c r="V104">
        <v>250</v>
      </c>
      <c r="Y104" s="1">
        <v>710.4275584515384</v>
      </c>
      <c r="Z104">
        <v>250</v>
      </c>
      <c r="AC104" s="1">
        <v>816.09161871545916</v>
      </c>
      <c r="AD104">
        <v>250</v>
      </c>
      <c r="AG104" s="1">
        <v>994.39143852430846</v>
      </c>
      <c r="AH104">
        <v>250</v>
      </c>
      <c r="AK104" s="1">
        <v>1399.1613984417106</v>
      </c>
      <c r="AL104">
        <v>250</v>
      </c>
    </row>
    <row r="105" spans="1:39" x14ac:dyDescent="0.2">
      <c r="A105" s="1">
        <v>621.35089392370799</v>
      </c>
      <c r="B105">
        <v>275</v>
      </c>
      <c r="E105" s="1">
        <v>451.40095918201723</v>
      </c>
      <c r="F105">
        <v>275</v>
      </c>
      <c r="I105" s="1">
        <v>379.25266383223163</v>
      </c>
      <c r="J105">
        <v>275</v>
      </c>
      <c r="M105" s="1">
        <v>338.55071938651292</v>
      </c>
      <c r="N105">
        <v>275</v>
      </c>
      <c r="Q105" s="1">
        <v>295.51129488960942</v>
      </c>
      <c r="R105">
        <v>275</v>
      </c>
      <c r="U105" s="1">
        <v>276.42550484970985</v>
      </c>
      <c r="V105">
        <v>275</v>
      </c>
      <c r="Y105" s="1">
        <v>691.0637621242746</v>
      </c>
      <c r="Z105">
        <v>275</v>
      </c>
      <c r="AC105" s="1">
        <v>793.84778582750528</v>
      </c>
      <c r="AD105">
        <v>275</v>
      </c>
      <c r="AG105" s="1">
        <v>967.28776967575129</v>
      </c>
      <c r="AH105">
        <v>275</v>
      </c>
      <c r="AK105" s="1">
        <v>1361.0251014666223</v>
      </c>
      <c r="AL105">
        <v>275</v>
      </c>
    </row>
    <row r="106" spans="1:39" x14ac:dyDescent="0.2">
      <c r="A106" s="1">
        <v>604.56045268394314</v>
      </c>
      <c r="B106">
        <v>300</v>
      </c>
      <c r="E106" s="1">
        <v>439.20298641841856</v>
      </c>
      <c r="F106">
        <v>300</v>
      </c>
      <c r="I106" s="1">
        <v>369.00431683640164</v>
      </c>
      <c r="J106">
        <v>300</v>
      </c>
      <c r="M106" s="1">
        <v>329.40223981381388</v>
      </c>
      <c r="N106">
        <v>300</v>
      </c>
      <c r="Q106" s="1">
        <v>287.52584724472354</v>
      </c>
      <c r="R106">
        <v>300</v>
      </c>
      <c r="U106" s="1">
        <v>268.95580255791396</v>
      </c>
      <c r="V106">
        <v>300</v>
      </c>
      <c r="Y106" s="1">
        <v>672.3895063947848</v>
      </c>
      <c r="Z106">
        <v>300</v>
      </c>
      <c r="AC106" s="1">
        <v>772.39605101614336</v>
      </c>
      <c r="AD106">
        <v>300</v>
      </c>
      <c r="AG106" s="1">
        <v>941.14925661089694</v>
      </c>
      <c r="AH106">
        <v>300</v>
      </c>
      <c r="AK106" s="1">
        <v>1324.2468297758664</v>
      </c>
      <c r="AL106">
        <v>300</v>
      </c>
    </row>
    <row r="107" spans="1:39" x14ac:dyDescent="0.2">
      <c r="A107" s="1">
        <v>588.3570536338118</v>
      </c>
      <c r="B107">
        <v>325</v>
      </c>
      <c r="E107" s="1">
        <v>427.43148991818759</v>
      </c>
      <c r="F107">
        <v>325</v>
      </c>
      <c r="I107" s="1">
        <v>359.11428157131434</v>
      </c>
      <c r="J107">
        <v>325</v>
      </c>
      <c r="M107" s="1">
        <v>320.57361743864072</v>
      </c>
      <c r="N107">
        <v>325</v>
      </c>
      <c r="Q107" s="1">
        <v>279.81959385112128</v>
      </c>
      <c r="R107">
        <v>325</v>
      </c>
      <c r="U107" s="1">
        <v>261.74726257428301</v>
      </c>
      <c r="V107">
        <v>325</v>
      </c>
      <c r="Y107" s="1">
        <v>654.36815643570753</v>
      </c>
      <c r="Z107">
        <v>325</v>
      </c>
      <c r="AC107" s="1">
        <v>751.69433064426335</v>
      </c>
      <c r="AD107">
        <v>325</v>
      </c>
      <c r="AG107" s="1">
        <v>915.92462125325926</v>
      </c>
      <c r="AH107">
        <v>325</v>
      </c>
      <c r="AK107" s="1">
        <v>1288.7544324010955</v>
      </c>
      <c r="AL107">
        <v>325</v>
      </c>
    </row>
    <row r="108" spans="1:39" x14ac:dyDescent="0.2">
      <c r="A108" s="1">
        <v>572.71026767642479</v>
      </c>
      <c r="B108">
        <v>350</v>
      </c>
      <c r="E108" s="1">
        <v>416.06436345494399</v>
      </c>
      <c r="F108">
        <v>350</v>
      </c>
      <c r="I108" s="1">
        <v>349.5639850918497</v>
      </c>
      <c r="J108">
        <v>350</v>
      </c>
      <c r="M108" s="1">
        <v>312.04827259120799</v>
      </c>
      <c r="N108">
        <v>350</v>
      </c>
      <c r="Q108" s="1">
        <v>272.37806278655705</v>
      </c>
      <c r="R108">
        <v>350</v>
      </c>
      <c r="U108" s="1">
        <v>254.78634765512439</v>
      </c>
      <c r="V108">
        <v>350</v>
      </c>
      <c r="Y108" s="1">
        <v>636.96586913781107</v>
      </c>
      <c r="Z108">
        <v>350</v>
      </c>
      <c r="AC108" s="1">
        <v>731.7037480136479</v>
      </c>
      <c r="AD108">
        <v>350</v>
      </c>
      <c r="AG108" s="1">
        <v>891.56649311773731</v>
      </c>
      <c r="AH108">
        <v>350</v>
      </c>
      <c r="AK108" s="1">
        <v>1254.4812565619152</v>
      </c>
      <c r="AL108">
        <v>350</v>
      </c>
    </row>
    <row r="109" spans="1:39" x14ac:dyDescent="0.2">
      <c r="A109" s="1">
        <v>557.59192916213192</v>
      </c>
      <c r="B109">
        <v>375</v>
      </c>
      <c r="E109" s="1">
        <v>405.08114515860382</v>
      </c>
      <c r="F109">
        <v>375</v>
      </c>
      <c r="I109" s="1">
        <v>340.33623598851131</v>
      </c>
      <c r="J109">
        <v>375</v>
      </c>
      <c r="M109" s="1">
        <v>303.81085886895283</v>
      </c>
      <c r="N109">
        <v>375</v>
      </c>
      <c r="Q109" s="1">
        <v>265.18785861267094</v>
      </c>
      <c r="R109">
        <v>375</v>
      </c>
      <c r="U109" s="1">
        <v>248.06052751521591</v>
      </c>
      <c r="V109">
        <v>375</v>
      </c>
      <c r="Y109" s="1">
        <v>620.15131878803982</v>
      </c>
      <c r="Z109">
        <v>375</v>
      </c>
      <c r="AC109" s="1">
        <v>712.3883182422768</v>
      </c>
      <c r="AD109">
        <v>375</v>
      </c>
      <c r="AG109" s="1">
        <v>868.03102533986544</v>
      </c>
      <c r="AH109">
        <v>375</v>
      </c>
      <c r="AK109" s="1">
        <v>1221.3656073987088</v>
      </c>
      <c r="AL109">
        <v>375</v>
      </c>
    </row>
    <row r="110" spans="1:39" x14ac:dyDescent="0.2">
      <c r="A110" s="1">
        <v>542.97591845279305</v>
      </c>
      <c r="B110">
        <v>400</v>
      </c>
      <c r="E110" s="1">
        <v>394.46285955198442</v>
      </c>
      <c r="F110">
        <v>400</v>
      </c>
      <c r="I110" s="1">
        <v>331.41509167162906</v>
      </c>
      <c r="J110">
        <v>400</v>
      </c>
      <c r="M110" s="1">
        <v>295.84714466398827</v>
      </c>
      <c r="N110">
        <v>400</v>
      </c>
      <c r="Q110" s="1">
        <v>258.23655896367188</v>
      </c>
      <c r="R110">
        <v>400</v>
      </c>
      <c r="U110" s="1">
        <v>241.55818209537679</v>
      </c>
      <c r="V110">
        <v>400</v>
      </c>
      <c r="Y110" s="1">
        <v>603.89545523844197</v>
      </c>
      <c r="Z110">
        <v>400</v>
      </c>
      <c r="AC110" s="1">
        <v>693.71467046498003</v>
      </c>
      <c r="AD110">
        <v>400</v>
      </c>
      <c r="AG110" s="1">
        <v>845.27755618282379</v>
      </c>
      <c r="AH110">
        <v>400</v>
      </c>
      <c r="AK110" s="1">
        <v>1189.3502716950834</v>
      </c>
      <c r="AL110">
        <v>400</v>
      </c>
    </row>
    <row r="111" spans="1:39" x14ac:dyDescent="0.2">
      <c r="A111" s="1">
        <v>528.83796968209072</v>
      </c>
      <c r="B111">
        <v>425</v>
      </c>
      <c r="E111" s="1">
        <v>384.19187789191005</v>
      </c>
      <c r="F111">
        <v>425</v>
      </c>
      <c r="I111" s="1">
        <v>322.78574103441758</v>
      </c>
      <c r="J111">
        <v>425</v>
      </c>
      <c r="M111" s="1">
        <v>288.14390841893248</v>
      </c>
      <c r="N111">
        <v>425</v>
      </c>
      <c r="Q111" s="1">
        <v>251.51262311812985</v>
      </c>
      <c r="R111">
        <v>425</v>
      </c>
      <c r="U111" s="1">
        <v>235.26851603921023</v>
      </c>
      <c r="V111">
        <v>425</v>
      </c>
      <c r="Y111" s="1">
        <v>588.17129009802557</v>
      </c>
      <c r="Z111">
        <v>425</v>
      </c>
      <c r="AC111" s="1">
        <v>675.65180222495667</v>
      </c>
      <c r="AD111">
        <v>425</v>
      </c>
      <c r="AG111" s="1">
        <v>823.26830976837857</v>
      </c>
      <c r="AH111">
        <v>425</v>
      </c>
      <c r="AK111" s="1">
        <v>1158.3820967904578</v>
      </c>
      <c r="AL111">
        <v>425</v>
      </c>
    </row>
    <row r="112" spans="1:39" x14ac:dyDescent="0.2">
      <c r="A112" s="1">
        <v>515.15550032019587</v>
      </c>
      <c r="B112">
        <v>450</v>
      </c>
      <c r="E112" s="1">
        <v>374.25179435081139</v>
      </c>
      <c r="F112">
        <v>450</v>
      </c>
      <c r="I112" s="1">
        <v>314.43440042471258</v>
      </c>
      <c r="J112">
        <v>450</v>
      </c>
      <c r="M112" s="1">
        <v>280.68884576310859</v>
      </c>
      <c r="N112">
        <v>450</v>
      </c>
      <c r="Q112" s="1">
        <v>245.00531094080569</v>
      </c>
      <c r="R112">
        <v>450</v>
      </c>
      <c r="U112" s="1">
        <v>229.18148287012801</v>
      </c>
      <c r="V112">
        <v>450</v>
      </c>
      <c r="Y112" s="1">
        <v>572.95370717531989</v>
      </c>
      <c r="Z112">
        <v>450</v>
      </c>
      <c r="AC112" s="1">
        <v>658.17086172287918</v>
      </c>
      <c r="AD112">
        <v>450</v>
      </c>
      <c r="AG112" s="1">
        <v>801.96813075173873</v>
      </c>
      <c r="AH112">
        <v>450</v>
      </c>
      <c r="AK112" s="1">
        <v>1128.4116172535382</v>
      </c>
      <c r="AL112">
        <v>450</v>
      </c>
    </row>
    <row r="113" spans="1:38" x14ac:dyDescent="0.2">
      <c r="A113" s="1">
        <v>501.90745966834555</v>
      </c>
      <c r="B113">
        <v>475</v>
      </c>
      <c r="E113" s="1">
        <v>364.62731595058909</v>
      </c>
      <c r="F113">
        <v>475</v>
      </c>
      <c r="I113" s="1">
        <v>306.34822117091915</v>
      </c>
      <c r="J113">
        <v>475</v>
      </c>
      <c r="M113" s="1">
        <v>273.47048696294183</v>
      </c>
      <c r="N113">
        <v>475</v>
      </c>
      <c r="Q113" s="1">
        <v>238.70461082745049</v>
      </c>
      <c r="R113">
        <v>475</v>
      </c>
      <c r="U113" s="1">
        <v>223.28771758988228</v>
      </c>
      <c r="V113">
        <v>475</v>
      </c>
      <c r="Y113" s="1">
        <v>558.21929397470558</v>
      </c>
      <c r="Z113">
        <v>475</v>
      </c>
      <c r="AC113" s="1">
        <v>641.24495425115765</v>
      </c>
      <c r="AD113">
        <v>475</v>
      </c>
      <c r="AG113" s="1">
        <v>781.34424846554793</v>
      </c>
      <c r="AH113">
        <v>475</v>
      </c>
      <c r="AK113" s="1">
        <v>1099.3927230204315</v>
      </c>
      <c r="AL113">
        <v>475</v>
      </c>
    </row>
    <row r="114" spans="1:38" x14ac:dyDescent="0.2">
      <c r="A114" s="1">
        <v>489.07419383840386</v>
      </c>
      <c r="B114">
        <v>500</v>
      </c>
      <c r="E114" s="1">
        <v>355.30416447253748</v>
      </c>
      <c r="F114">
        <v>500</v>
      </c>
      <c r="I114" s="1">
        <v>298.51520716986397</v>
      </c>
      <c r="J114">
        <v>500</v>
      </c>
      <c r="M114" s="1">
        <v>266.47812335440312</v>
      </c>
      <c r="N114">
        <v>500</v>
      </c>
      <c r="Q114" s="1">
        <v>232.60117548977752</v>
      </c>
      <c r="R114">
        <v>500</v>
      </c>
      <c r="U114" s="1">
        <v>217.57847661090699</v>
      </c>
      <c r="V114">
        <v>500</v>
      </c>
      <c r="Y114" s="1">
        <v>543.94619152726739</v>
      </c>
      <c r="Z114">
        <v>500</v>
      </c>
      <c r="AC114" s="1">
        <v>624.84896968967757</v>
      </c>
      <c r="AD114">
        <v>500</v>
      </c>
      <c r="AG114" s="1">
        <v>761.36606672686617</v>
      </c>
      <c r="AH114">
        <v>500</v>
      </c>
      <c r="AK114" s="1">
        <v>1071.2823636419366</v>
      </c>
      <c r="AL114">
        <v>500</v>
      </c>
    </row>
    <row r="115" spans="1:38" x14ac:dyDescent="0.2">
      <c r="A115" s="1">
        <v>476.63732513056567</v>
      </c>
      <c r="B115">
        <v>525</v>
      </c>
      <c r="E115" s="1">
        <v>346.2689888272792</v>
      </c>
      <c r="F115">
        <v>525</v>
      </c>
      <c r="I115" s="1">
        <v>290.92414126281392</v>
      </c>
      <c r="J115">
        <v>525</v>
      </c>
      <c r="M115" s="1">
        <v>259.70174162045942</v>
      </c>
      <c r="N115">
        <v>525</v>
      </c>
      <c r="Q115" s="1">
        <v>226.68626458811787</v>
      </c>
      <c r="R115">
        <v>525</v>
      </c>
      <c r="U115" s="1">
        <v>212.04558409408082</v>
      </c>
      <c r="V115">
        <v>525</v>
      </c>
      <c r="Y115" s="1">
        <v>530.11396023520206</v>
      </c>
      <c r="Z115">
        <v>525</v>
      </c>
      <c r="AC115" s="1">
        <v>608.95942839683607</v>
      </c>
      <c r="AD115">
        <v>525</v>
      </c>
      <c r="AG115" s="1">
        <v>742.00497605845544</v>
      </c>
      <c r="AH115">
        <v>525</v>
      </c>
      <c r="AK115" s="1">
        <v>1044.0402840689555</v>
      </c>
      <c r="AL115">
        <v>525</v>
      </c>
    </row>
    <row r="116" spans="1:38" x14ac:dyDescent="0.2">
      <c r="A116" s="1">
        <v>464.57964402207881</v>
      </c>
      <c r="B116">
        <v>550</v>
      </c>
      <c r="E116" s="1">
        <v>337.50928658639026</v>
      </c>
      <c r="F116">
        <v>550</v>
      </c>
      <c r="I116" s="1">
        <v>283.56451930885453</v>
      </c>
      <c r="J116">
        <v>550</v>
      </c>
      <c r="M116" s="1">
        <v>253.13196493979265</v>
      </c>
      <c r="N116">
        <v>550</v>
      </c>
      <c r="Q116" s="1">
        <v>220.95169336181101</v>
      </c>
      <c r="R116">
        <v>550</v>
      </c>
      <c r="U116" s="1">
        <v>206.68138389685777</v>
      </c>
      <c r="V116">
        <v>550</v>
      </c>
      <c r="Y116" s="1">
        <v>516.70345974214433</v>
      </c>
      <c r="Z116">
        <v>550</v>
      </c>
      <c r="AC116" s="1">
        <v>593.55434321261532</v>
      </c>
      <c r="AD116">
        <v>550</v>
      </c>
      <c r="AG116" s="1">
        <v>723.23418554226487</v>
      </c>
      <c r="AH116">
        <v>550</v>
      </c>
      <c r="AK116" s="1">
        <v>1017.6287880614428</v>
      </c>
      <c r="AL116">
        <v>550</v>
      </c>
    </row>
    <row r="117" spans="1:38" x14ac:dyDescent="0.2">
      <c r="A117" s="1">
        <v>452.8850122316187</v>
      </c>
      <c r="B117">
        <v>575</v>
      </c>
      <c r="E117" s="1">
        <v>329.01333356030131</v>
      </c>
      <c r="F117">
        <v>575</v>
      </c>
      <c r="I117" s="1">
        <v>276.42649101849264</v>
      </c>
      <c r="J117">
        <v>575</v>
      </c>
      <c r="M117" s="1">
        <v>246.76000017022596</v>
      </c>
      <c r="N117">
        <v>575</v>
      </c>
      <c r="Q117" s="1">
        <v>215.38978652711936</v>
      </c>
      <c r="R117">
        <v>575</v>
      </c>
      <c r="U117" s="1">
        <v>201.4786964487146</v>
      </c>
      <c r="V117">
        <v>575</v>
      </c>
      <c r="Y117" s="1">
        <v>503.69674112178649</v>
      </c>
      <c r="Z117">
        <v>575</v>
      </c>
      <c r="AC117" s="1">
        <v>578.61309561208543</v>
      </c>
      <c r="AD117">
        <v>575</v>
      </c>
      <c r="AG117" s="1">
        <v>705.02857191493126</v>
      </c>
      <c r="AH117">
        <v>575</v>
      </c>
      <c r="AK117" s="1">
        <v>992.01252585778684</v>
      </c>
      <c r="AL117">
        <v>575</v>
      </c>
    </row>
    <row r="118" spans="1:38" x14ac:dyDescent="0.2">
      <c r="A118" s="1">
        <v>441.53827553620573</v>
      </c>
      <c r="B118">
        <v>600</v>
      </c>
      <c r="E118" s="1">
        <v>320.77012046125628</v>
      </c>
      <c r="F118">
        <v>600</v>
      </c>
      <c r="I118" s="1">
        <v>269.50080673989771</v>
      </c>
      <c r="J118">
        <v>600</v>
      </c>
      <c r="M118" s="1">
        <v>240.57759034594224</v>
      </c>
      <c r="N118">
        <v>600</v>
      </c>
      <c r="Q118" s="1">
        <v>209.99333681340147</v>
      </c>
      <c r="R118">
        <v>600</v>
      </c>
      <c r="U118" s="1">
        <v>196.43077996529297</v>
      </c>
      <c r="V118">
        <v>600</v>
      </c>
      <c r="Y118" s="1">
        <v>491.0769499132324</v>
      </c>
      <c r="Z118">
        <v>600</v>
      </c>
      <c r="AC118" s="1">
        <v>564.11632431891132</v>
      </c>
      <c r="AD118">
        <v>600</v>
      </c>
      <c r="AG118" s="1">
        <v>687.36454384554929</v>
      </c>
      <c r="AH118">
        <v>600</v>
      </c>
      <c r="AK118" s="1">
        <v>967.15830320644602</v>
      </c>
      <c r="AL118">
        <v>600</v>
      </c>
    </row>
    <row r="119" spans="1:38" x14ac:dyDescent="0.2">
      <c r="A119" s="1">
        <v>430.52518519710787</v>
      </c>
      <c r="B119">
        <v>625</v>
      </c>
      <c r="E119" s="1">
        <v>312.76929582055436</v>
      </c>
      <c r="F119">
        <v>625</v>
      </c>
      <c r="I119" s="1">
        <v>262.77876949979242</v>
      </c>
      <c r="J119">
        <v>625</v>
      </c>
      <c r="M119" s="1">
        <v>234.57697186541577</v>
      </c>
      <c r="N119">
        <v>625</v>
      </c>
      <c r="Q119" s="1">
        <v>204.75556759367512</v>
      </c>
      <c r="R119">
        <v>625</v>
      </c>
      <c r="U119" s="1">
        <v>191.53129549249138</v>
      </c>
      <c r="V119">
        <v>625</v>
      </c>
      <c r="Y119" s="1">
        <v>478.82823873122845</v>
      </c>
      <c r="Z119">
        <v>625</v>
      </c>
      <c r="AC119" s="1">
        <v>550.04582491783594</v>
      </c>
      <c r="AD119">
        <v>625</v>
      </c>
      <c r="AG119" s="1">
        <v>670.21991961547371</v>
      </c>
      <c r="AH119">
        <v>625</v>
      </c>
      <c r="AK119" s="1">
        <v>943.03490925495657</v>
      </c>
      <c r="AL119">
        <v>625</v>
      </c>
    </row>
    <row r="120" spans="1:38" x14ac:dyDescent="0.2">
      <c r="A120" s="1">
        <v>419.83232700354074</v>
      </c>
      <c r="B120">
        <v>650</v>
      </c>
      <c r="E120" s="1">
        <v>305.0011144399927</v>
      </c>
      <c r="F120">
        <v>650</v>
      </c>
      <c r="I120" s="1">
        <v>256.25219169400179</v>
      </c>
      <c r="J120">
        <v>650</v>
      </c>
      <c r="M120" s="1">
        <v>228.75083582999454</v>
      </c>
      <c r="N120">
        <v>650</v>
      </c>
      <c r="Q120" s="1">
        <v>199.67009913816509</v>
      </c>
      <c r="R120">
        <v>650</v>
      </c>
      <c r="U120" s="1">
        <v>186.77427533955012</v>
      </c>
      <c r="V120">
        <v>650</v>
      </c>
      <c r="Y120" s="1">
        <v>466.93568834887526</v>
      </c>
      <c r="Z120">
        <v>650</v>
      </c>
      <c r="AC120" s="1">
        <v>536.38445919978324</v>
      </c>
      <c r="AD120">
        <v>650</v>
      </c>
      <c r="AG120" s="1">
        <v>653.57381665712728</v>
      </c>
      <c r="AH120">
        <v>650</v>
      </c>
      <c r="AK120" s="1">
        <v>919.61296112518562</v>
      </c>
      <c r="AL120">
        <v>650</v>
      </c>
    </row>
    <row r="121" spans="1:38" x14ac:dyDescent="0.2">
      <c r="A121" s="1">
        <v>409.44705707271646</v>
      </c>
      <c r="B121">
        <v>675</v>
      </c>
      <c r="E121" s="1">
        <v>297.45639075168361</v>
      </c>
      <c r="F121">
        <v>675</v>
      </c>
      <c r="I121" s="1">
        <v>249.91335590186162</v>
      </c>
      <c r="J121">
        <v>675</v>
      </c>
      <c r="M121" s="1">
        <v>223.0922930637627</v>
      </c>
      <c r="N121">
        <v>675</v>
      </c>
      <c r="Q121" s="1">
        <v>194.73091808113605</v>
      </c>
      <c r="R121">
        <v>675</v>
      </c>
      <c r="U121" s="1">
        <v>182.1540945178885</v>
      </c>
      <c r="V121">
        <v>675</v>
      </c>
      <c r="Y121" s="1">
        <v>455.38523629472121</v>
      </c>
      <c r="Z121">
        <v>675</v>
      </c>
      <c r="AC121" s="1">
        <v>523.11607313897866</v>
      </c>
      <c r="AD121">
        <v>675</v>
      </c>
      <c r="AG121" s="1">
        <v>637.40655161075051</v>
      </c>
      <c r="AH121">
        <v>675</v>
      </c>
      <c r="AK121" s="1">
        <v>896.86476328788774</v>
      </c>
      <c r="AL121">
        <v>675</v>
      </c>
    </row>
    <row r="122" spans="1:38" x14ac:dyDescent="0.2">
      <c r="A122" s="1">
        <v>399.35744365558276</v>
      </c>
      <c r="B122">
        <v>700</v>
      </c>
      <c r="E122" s="1">
        <v>290.12645654090397</v>
      </c>
      <c r="F122">
        <v>700</v>
      </c>
      <c r="I122" s="1">
        <v>243.75497936630748</v>
      </c>
      <c r="J122">
        <v>700</v>
      </c>
      <c r="M122" s="1">
        <v>217.59484240567798</v>
      </c>
      <c r="N122">
        <v>700</v>
      </c>
      <c r="Q122" s="1">
        <v>189.93234974400121</v>
      </c>
      <c r="R122">
        <v>700</v>
      </c>
      <c r="U122" s="1">
        <v>177.66544485174344</v>
      </c>
      <c r="V122">
        <v>700</v>
      </c>
      <c r="Y122" s="1">
        <v>444.16361212935863</v>
      </c>
      <c r="Z122">
        <v>700</v>
      </c>
      <c r="AC122" s="1">
        <v>510.22542254303613</v>
      </c>
      <c r="AD122">
        <v>700</v>
      </c>
      <c r="AG122" s="1">
        <v>621.69954973050858</v>
      </c>
      <c r="AH122">
        <v>700</v>
      </c>
      <c r="AK122" s="1">
        <v>874.76418009230053</v>
      </c>
      <c r="AL122">
        <v>700</v>
      </c>
    </row>
    <row r="123" spans="1:38" x14ac:dyDescent="0.2">
      <c r="A123" s="1">
        <v>389.55221429246399</v>
      </c>
      <c r="B123">
        <v>725</v>
      </c>
      <c r="E123" s="1">
        <v>283.00312255555855</v>
      </c>
      <c r="F123">
        <v>725</v>
      </c>
      <c r="I123" s="1">
        <v>237.77018173937205</v>
      </c>
      <c r="J123">
        <v>725</v>
      </c>
      <c r="M123" s="1">
        <v>212.25234191666894</v>
      </c>
      <c r="N123">
        <v>725</v>
      </c>
      <c r="Q123" s="1">
        <v>185.26903300281595</v>
      </c>
      <c r="R123">
        <v>725</v>
      </c>
      <c r="U123" s="1">
        <v>173.30331146886286</v>
      </c>
      <c r="V123">
        <v>725</v>
      </c>
      <c r="Y123" s="1">
        <v>433.25827867215713</v>
      </c>
      <c r="Z123">
        <v>725</v>
      </c>
      <c r="AC123" s="1">
        <v>497.69810553816444</v>
      </c>
      <c r="AD123">
        <v>725</v>
      </c>
      <c r="AG123" s="1">
        <v>606.43526261905413</v>
      </c>
      <c r="AH123">
        <v>725</v>
      </c>
      <c r="AK123" s="1">
        <v>853.2865200143209</v>
      </c>
      <c r="AL123">
        <v>725</v>
      </c>
    </row>
    <row r="124" spans="1:38" x14ac:dyDescent="0.2">
      <c r="A124" s="1">
        <v>380.02070774432343</v>
      </c>
      <c r="B124">
        <v>750</v>
      </c>
      <c r="E124" s="1">
        <v>276.07864358505174</v>
      </c>
      <c r="F124">
        <v>750</v>
      </c>
      <c r="I124" s="1">
        <v>231.95245574256913</v>
      </c>
      <c r="J124">
        <v>750</v>
      </c>
      <c r="M124" s="1">
        <v>207.0589826887888</v>
      </c>
      <c r="N124">
        <v>750</v>
      </c>
      <c r="Q124" s="1">
        <v>180.73589742703345</v>
      </c>
      <c r="R124">
        <v>750</v>
      </c>
      <c r="U124" s="1">
        <v>169.06295141576928</v>
      </c>
      <c r="V124">
        <v>750</v>
      </c>
      <c r="Y124" s="1">
        <v>422.65737853942318</v>
      </c>
      <c r="Z124">
        <v>750</v>
      </c>
      <c r="AC124" s="1">
        <v>485.52050115578339</v>
      </c>
      <c r="AD124">
        <v>750</v>
      </c>
      <c r="AG124" s="1">
        <v>591.59709339653944</v>
      </c>
      <c r="AH124">
        <v>750</v>
      </c>
      <c r="AK124" s="1">
        <v>832.40843036534125</v>
      </c>
      <c r="AL124">
        <v>750</v>
      </c>
    </row>
    <row r="125" spans="1:38" x14ac:dyDescent="0.2">
      <c r="A125" s="1">
        <v>370.75283019553319</v>
      </c>
      <c r="B125">
        <v>775</v>
      </c>
      <c r="E125" s="1">
        <v>269.3456866423374</v>
      </c>
      <c r="F125">
        <v>775</v>
      </c>
      <c r="I125" s="1">
        <v>226.29564043446854</v>
      </c>
      <c r="J125">
        <v>775</v>
      </c>
      <c r="M125" s="1">
        <v>202.00926498175306</v>
      </c>
      <c r="N125">
        <v>775</v>
      </c>
      <c r="Q125" s="1">
        <v>176.32814244976674</v>
      </c>
      <c r="R125">
        <v>775</v>
      </c>
      <c r="U125" s="1">
        <v>164.93987417332437</v>
      </c>
      <c r="V125">
        <v>775</v>
      </c>
      <c r="Y125" s="1">
        <v>412.34968543331098</v>
      </c>
      <c r="Z125">
        <v>775</v>
      </c>
      <c r="AC125" s="1">
        <v>473.67971337648561</v>
      </c>
      <c r="AD125">
        <v>775</v>
      </c>
      <c r="AG125" s="1">
        <v>577.16932851929437</v>
      </c>
      <c r="AH125">
        <v>775</v>
      </c>
      <c r="AK125" s="1">
        <v>812.10780135752134</v>
      </c>
      <c r="AL125">
        <v>775</v>
      </c>
    </row>
    <row r="126" spans="1:38" x14ac:dyDescent="0.2">
      <c r="A126" s="1">
        <v>361.73901528464819</v>
      </c>
      <c r="B126">
        <v>800</v>
      </c>
      <c r="E126" s="1">
        <v>262.79730192694939</v>
      </c>
      <c r="F126">
        <v>800</v>
      </c>
      <c r="I126" s="1">
        <v>220.79389681476181</v>
      </c>
      <c r="J126">
        <v>800</v>
      </c>
      <c r="M126" s="1">
        <v>197.09797644521205</v>
      </c>
      <c r="N126">
        <v>800</v>
      </c>
      <c r="Q126" s="1">
        <v>172.04121835863</v>
      </c>
      <c r="R126">
        <v>800</v>
      </c>
      <c r="U126" s="1">
        <v>160.92982387528912</v>
      </c>
      <c r="V126">
        <v>800</v>
      </c>
      <c r="Y126" s="1">
        <v>402.32455968822279</v>
      </c>
      <c r="Z126">
        <v>800</v>
      </c>
      <c r="AC126" s="1">
        <v>462.16352006471794</v>
      </c>
      <c r="AD126">
        <v>800</v>
      </c>
      <c r="AG126" s="1">
        <v>563.13707555774874</v>
      </c>
      <c r="AH126">
        <v>800</v>
      </c>
      <c r="AK126" s="1">
        <v>792.36367855403023</v>
      </c>
      <c r="AL126">
        <v>800</v>
      </c>
    </row>
    <row r="127" spans="1:38" x14ac:dyDescent="0.2">
      <c r="A127" s="1"/>
      <c r="E127" s="1"/>
      <c r="I127" s="1"/>
      <c r="M127" s="1"/>
      <c r="Q127" s="1"/>
      <c r="U127" s="1"/>
      <c r="Y127" s="1"/>
      <c r="AC127" s="1"/>
      <c r="AG127" s="1"/>
      <c r="AK127" s="1"/>
    </row>
    <row r="128" spans="1:38" x14ac:dyDescent="0.2">
      <c r="A128" s="1"/>
    </row>
    <row r="129" spans="1:39" x14ac:dyDescent="0.2">
      <c r="A129" s="377" t="s">
        <v>55</v>
      </c>
      <c r="B129" s="377"/>
      <c r="C129" s="377"/>
      <c r="E129" s="377" t="s">
        <v>56</v>
      </c>
      <c r="F129" s="377"/>
      <c r="G129" s="377"/>
      <c r="I129" s="377" t="s">
        <v>57</v>
      </c>
      <c r="J129" s="377"/>
      <c r="K129" s="377"/>
      <c r="M129" s="377" t="s">
        <v>58</v>
      </c>
      <c r="N129" s="377"/>
      <c r="O129" s="377"/>
      <c r="Q129" s="377" t="s">
        <v>59</v>
      </c>
      <c r="R129" s="377"/>
      <c r="S129" s="377"/>
      <c r="U129" s="377" t="s">
        <v>60</v>
      </c>
      <c r="V129" s="377"/>
      <c r="W129" s="377"/>
      <c r="Y129" s="377" t="s">
        <v>61</v>
      </c>
      <c r="Z129" s="377"/>
      <c r="AA129" s="377"/>
      <c r="AC129" s="377" t="s">
        <v>62</v>
      </c>
      <c r="AD129" s="377"/>
      <c r="AE129" s="377"/>
      <c r="AG129" s="377" t="s">
        <v>63</v>
      </c>
      <c r="AH129" s="377"/>
      <c r="AI129" s="377"/>
      <c r="AK129" s="377" t="s">
        <v>64</v>
      </c>
      <c r="AL129" s="377"/>
      <c r="AM129" s="377"/>
    </row>
    <row r="130" spans="1:39" x14ac:dyDescent="0.2">
      <c r="A130" s="1">
        <v>670.99442932314184</v>
      </c>
      <c r="B130">
        <v>100</v>
      </c>
      <c r="E130" s="1">
        <v>487.46615151638667</v>
      </c>
      <c r="F130">
        <v>100</v>
      </c>
      <c r="I130" s="1">
        <v>409.55348616370594</v>
      </c>
      <c r="J130">
        <v>100</v>
      </c>
      <c r="M130" s="1">
        <v>365.59961363729002</v>
      </c>
      <c r="N130">
        <v>100</v>
      </c>
      <c r="Q130" s="1">
        <v>319.12150543609351</v>
      </c>
      <c r="R130">
        <v>100</v>
      </c>
      <c r="U130" s="1">
        <v>298.51083452334495</v>
      </c>
      <c r="V130">
        <v>100</v>
      </c>
      <c r="Y130" s="1">
        <v>746.2770863083623</v>
      </c>
      <c r="Z130">
        <v>100</v>
      </c>
      <c r="AC130" s="1">
        <v>857.27315632730028</v>
      </c>
      <c r="AD130">
        <v>100</v>
      </c>
      <c r="AG130" s="1">
        <v>1044.5703246779715</v>
      </c>
      <c r="AH130">
        <v>100</v>
      </c>
      <c r="AK130" s="1">
        <v>1469.7657477985358</v>
      </c>
      <c r="AL130">
        <v>100</v>
      </c>
    </row>
    <row r="131" spans="1:39" x14ac:dyDescent="0.2">
      <c r="A131" s="1">
        <v>651.52891547802835</v>
      </c>
      <c r="B131">
        <v>125</v>
      </c>
      <c r="E131" s="1">
        <v>473.32478356056311</v>
      </c>
      <c r="F131">
        <v>125</v>
      </c>
      <c r="I131" s="1">
        <v>397.67236061803499</v>
      </c>
      <c r="J131">
        <v>125</v>
      </c>
      <c r="M131" s="1">
        <v>354.9935876704223</v>
      </c>
      <c r="N131">
        <v>125</v>
      </c>
      <c r="Q131" s="1">
        <v>309.86380699498147</v>
      </c>
      <c r="R131">
        <v>125</v>
      </c>
      <c r="U131" s="1">
        <v>289.85105058416684</v>
      </c>
      <c r="V131">
        <v>125</v>
      </c>
      <c r="Y131" s="1">
        <v>724.62762646041699</v>
      </c>
      <c r="Z131">
        <v>125</v>
      </c>
      <c r="AC131" s="1">
        <v>832.403706203301</v>
      </c>
      <c r="AD131">
        <v>125</v>
      </c>
      <c r="AG131" s="1">
        <v>1014.2673933440637</v>
      </c>
      <c r="AH131">
        <v>125</v>
      </c>
      <c r="AK131" s="1">
        <v>1427.1279191332433</v>
      </c>
      <c r="AL131">
        <v>125</v>
      </c>
    </row>
    <row r="132" spans="1:39" x14ac:dyDescent="0.2">
      <c r="A132" s="1">
        <v>632.8500765355185</v>
      </c>
      <c r="B132">
        <v>150</v>
      </c>
      <c r="E132" s="1">
        <v>459.75492167171768</v>
      </c>
      <c r="F132">
        <v>150</v>
      </c>
      <c r="I132" s="1">
        <v>386.27139621045836</v>
      </c>
      <c r="J132">
        <v>150</v>
      </c>
      <c r="M132" s="1">
        <v>344.81619125378825</v>
      </c>
      <c r="N132">
        <v>150</v>
      </c>
      <c r="Q132" s="1">
        <v>300.9802470984485</v>
      </c>
      <c r="R132">
        <v>150</v>
      </c>
      <c r="U132" s="1">
        <v>281.54124120723895</v>
      </c>
      <c r="V132">
        <v>150</v>
      </c>
      <c r="Y132" s="1">
        <v>703.8531030180975</v>
      </c>
      <c r="Z132">
        <v>150</v>
      </c>
      <c r="AC132" s="1">
        <v>808.539324448407</v>
      </c>
      <c r="AD132">
        <v>150</v>
      </c>
      <c r="AG132" s="1">
        <v>985.1891178679665</v>
      </c>
      <c r="AH132">
        <v>150</v>
      </c>
      <c r="AK132" s="1">
        <v>1386.2132460948399</v>
      </c>
      <c r="AL132">
        <v>150</v>
      </c>
    </row>
    <row r="133" spans="1:39" x14ac:dyDescent="0.2">
      <c r="A133" s="1">
        <v>614.90876670359239</v>
      </c>
      <c r="B133">
        <v>175</v>
      </c>
      <c r="E133" s="1">
        <v>446.72086225969787</v>
      </c>
      <c r="F133">
        <v>175</v>
      </c>
      <c r="I133" s="1">
        <v>375.32059592524485</v>
      </c>
      <c r="J133">
        <v>175</v>
      </c>
      <c r="M133" s="1">
        <v>335.04064669477339</v>
      </c>
      <c r="N133">
        <v>175</v>
      </c>
      <c r="Q133" s="1">
        <v>292.4474522601439</v>
      </c>
      <c r="R133">
        <v>175</v>
      </c>
      <c r="U133" s="1">
        <v>273.55954249809673</v>
      </c>
      <c r="V133">
        <v>175</v>
      </c>
      <c r="Y133" s="1">
        <v>683.89885624524175</v>
      </c>
      <c r="Z133">
        <v>175</v>
      </c>
      <c r="AC133" s="1">
        <v>785.61722161697764</v>
      </c>
      <c r="AD133">
        <v>175</v>
      </c>
      <c r="AG133" s="1">
        <v>957.25899055649541</v>
      </c>
      <c r="AH133">
        <v>175</v>
      </c>
      <c r="AK133" s="1">
        <v>1346.9140783085943</v>
      </c>
      <c r="AL133">
        <v>175</v>
      </c>
    </row>
    <row r="134" spans="1:39" x14ac:dyDescent="0.2">
      <c r="A134" s="1">
        <v>597.66021860206479</v>
      </c>
      <c r="B134">
        <v>200</v>
      </c>
      <c r="E134" s="1">
        <v>434.19008257680463</v>
      </c>
      <c r="F134">
        <v>200</v>
      </c>
      <c r="I134" s="1">
        <v>364.79263518886597</v>
      </c>
      <c r="J134">
        <v>200</v>
      </c>
      <c r="M134" s="1">
        <v>325.64256193260348</v>
      </c>
      <c r="N134">
        <v>200</v>
      </c>
      <c r="Q134" s="1">
        <v>284.24413134390488</v>
      </c>
      <c r="R134">
        <v>200</v>
      </c>
      <c r="U134" s="1">
        <v>265.88603842251604</v>
      </c>
      <c r="V134">
        <v>200</v>
      </c>
      <c r="Y134" s="1">
        <v>664.71509605629012</v>
      </c>
      <c r="Z134">
        <v>200</v>
      </c>
      <c r="AC134" s="1">
        <v>763.58020219197908</v>
      </c>
      <c r="AD134">
        <v>200</v>
      </c>
      <c r="AG134" s="1">
        <v>930.40731980743863</v>
      </c>
      <c r="AH134">
        <v>200</v>
      </c>
      <c r="AK134" s="1">
        <v>1309.132356000626</v>
      </c>
      <c r="AL134">
        <v>200</v>
      </c>
    </row>
    <row r="135" spans="1:39" x14ac:dyDescent="0.2">
      <c r="A135" s="1">
        <v>581.06354493029346</v>
      </c>
      <c r="B135">
        <v>225</v>
      </c>
      <c r="E135" s="1">
        <v>422.13287868777581</v>
      </c>
      <c r="F135">
        <v>225</v>
      </c>
      <c r="I135" s="1">
        <v>354.66255770394264</v>
      </c>
      <c r="J135">
        <v>225</v>
      </c>
      <c r="M135" s="1">
        <v>316.59965901583183</v>
      </c>
      <c r="N135">
        <v>225</v>
      </c>
      <c r="Q135" s="1">
        <v>276.35083855947767</v>
      </c>
      <c r="R135">
        <v>225</v>
      </c>
      <c r="U135" s="1">
        <v>258.50253910931065</v>
      </c>
      <c r="V135">
        <v>225</v>
      </c>
      <c r="Y135" s="1">
        <v>646.2563477732765</v>
      </c>
      <c r="Z135">
        <v>225</v>
      </c>
      <c r="AC135" s="1">
        <v>742.376027907722</v>
      </c>
      <c r="AD135">
        <v>225</v>
      </c>
      <c r="AG135" s="1">
        <v>904.57045433094811</v>
      </c>
      <c r="AH135">
        <v>225</v>
      </c>
      <c r="AK135" s="1">
        <v>1272.7785184363324</v>
      </c>
      <c r="AL135">
        <v>225</v>
      </c>
    </row>
    <row r="136" spans="1:39" x14ac:dyDescent="0.2">
      <c r="A136" s="1">
        <v>565.08130816593223</v>
      </c>
      <c r="B136">
        <v>250</v>
      </c>
      <c r="E136" s="1">
        <v>410.52205286317729</v>
      </c>
      <c r="F136">
        <v>250</v>
      </c>
      <c r="I136" s="1">
        <v>344.90751280716063</v>
      </c>
      <c r="J136">
        <v>250</v>
      </c>
      <c r="M136" s="1">
        <v>307.89153964738296</v>
      </c>
      <c r="N136">
        <v>250</v>
      </c>
      <c r="Q136" s="1">
        <v>268.74976881345327</v>
      </c>
      <c r="R136">
        <v>250</v>
      </c>
      <c r="U136" s="1">
        <v>251.39238941866159</v>
      </c>
      <c r="V136">
        <v>250</v>
      </c>
      <c r="Y136" s="1">
        <v>628.48097354665401</v>
      </c>
      <c r="Z136">
        <v>250</v>
      </c>
      <c r="AC136" s="1">
        <v>721.95686799014254</v>
      </c>
      <c r="AD136">
        <v>250</v>
      </c>
      <c r="AG136" s="1">
        <v>879.69011327823705</v>
      </c>
      <c r="AH136">
        <v>250</v>
      </c>
      <c r="AK136" s="1">
        <v>1237.7705613760033</v>
      </c>
      <c r="AL136">
        <v>250</v>
      </c>
    </row>
    <row r="137" spans="1:39" x14ac:dyDescent="0.2">
      <c r="A137" s="1">
        <v>549.67914755223285</v>
      </c>
      <c r="B137">
        <v>275</v>
      </c>
      <c r="E137" s="1">
        <v>399.33264259196096</v>
      </c>
      <c r="F137">
        <v>275</v>
      </c>
      <c r="I137" s="1">
        <v>335.50652779427907</v>
      </c>
      <c r="J137">
        <v>275</v>
      </c>
      <c r="M137" s="1">
        <v>299.49948194397075</v>
      </c>
      <c r="N137">
        <v>275</v>
      </c>
      <c r="Q137" s="1">
        <v>261.42458030634396</v>
      </c>
      <c r="R137">
        <v>275</v>
      </c>
      <c r="U137" s="1">
        <v>244.54030299687733</v>
      </c>
      <c r="V137">
        <v>275</v>
      </c>
      <c r="Y137" s="1">
        <v>611.35075749219334</v>
      </c>
      <c r="Z137">
        <v>275</v>
      </c>
      <c r="AC137" s="1">
        <v>702.27882258984721</v>
      </c>
      <c r="AD137">
        <v>275</v>
      </c>
      <c r="AG137" s="1">
        <v>855.71280555420208</v>
      </c>
      <c r="AH137">
        <v>275</v>
      </c>
      <c r="AK137" s="1">
        <v>1204.0332200169369</v>
      </c>
      <c r="AL137">
        <v>275</v>
      </c>
    </row>
    <row r="138" spans="1:39" x14ac:dyDescent="0.2">
      <c r="A138" s="1">
        <v>534.82545454566423</v>
      </c>
      <c r="B138">
        <v>300</v>
      </c>
      <c r="E138" s="1">
        <v>388.54168479962601</v>
      </c>
      <c r="F138">
        <v>300</v>
      </c>
      <c r="I138" s="1">
        <v>326.44030982376296</v>
      </c>
      <c r="J138">
        <v>300</v>
      </c>
      <c r="M138" s="1">
        <v>291.40626359971952</v>
      </c>
      <c r="N138">
        <v>300</v>
      </c>
      <c r="Q138" s="1">
        <v>254.36024017713709</v>
      </c>
      <c r="R138">
        <v>300</v>
      </c>
      <c r="U138" s="1">
        <v>237.93221789009468</v>
      </c>
      <c r="V138">
        <v>300</v>
      </c>
      <c r="Y138" s="1">
        <v>594.83054472523668</v>
      </c>
      <c r="Z138">
        <v>300</v>
      </c>
      <c r="AC138" s="1">
        <v>683.30150812882732</v>
      </c>
      <c r="AD138">
        <v>300</v>
      </c>
      <c r="AG138" s="1">
        <v>832.58932457062724</v>
      </c>
      <c r="AH138">
        <v>300</v>
      </c>
      <c r="AK138" s="1">
        <v>1171.4972580844487</v>
      </c>
      <c r="AL138">
        <v>300</v>
      </c>
    </row>
    <row r="139" spans="1:39" x14ac:dyDescent="0.2">
      <c r="A139" s="1">
        <v>520.49108943180568</v>
      </c>
      <c r="B139">
        <v>325</v>
      </c>
      <c r="E139" s="1">
        <v>378.12800997443861</v>
      </c>
      <c r="F139">
        <v>325</v>
      </c>
      <c r="I139" s="1">
        <v>317.69107294821066</v>
      </c>
      <c r="J139">
        <v>325</v>
      </c>
      <c r="M139" s="1">
        <v>283.59600748082897</v>
      </c>
      <c r="N139">
        <v>325</v>
      </c>
      <c r="Q139" s="1">
        <v>247.54288972726886</v>
      </c>
      <c r="R139">
        <v>325</v>
      </c>
      <c r="U139" s="1">
        <v>231.55517047285068</v>
      </c>
      <c r="V139">
        <v>325</v>
      </c>
      <c r="Y139" s="1">
        <v>578.88792618212665</v>
      </c>
      <c r="Z139">
        <v>325</v>
      </c>
      <c r="AC139" s="1">
        <v>664.9876952444173</v>
      </c>
      <c r="AD139">
        <v>325</v>
      </c>
      <c r="AG139" s="1">
        <v>810.27430708808276</v>
      </c>
      <c r="AH139">
        <v>325</v>
      </c>
      <c r="AK139" s="1">
        <v>1140.0988470990701</v>
      </c>
      <c r="AL139">
        <v>325</v>
      </c>
    </row>
    <row r="140" spans="1:39" x14ac:dyDescent="0.2">
      <c r="A140" s="1">
        <v>506.64913305724093</v>
      </c>
      <c r="B140">
        <v>350</v>
      </c>
      <c r="E140" s="1">
        <v>368.07206180483422</v>
      </c>
      <c r="F140">
        <v>350</v>
      </c>
      <c r="I140" s="1">
        <v>309.24238657946171</v>
      </c>
      <c r="J140">
        <v>350</v>
      </c>
      <c r="M140" s="1">
        <v>276.05404635362567</v>
      </c>
      <c r="N140">
        <v>350</v>
      </c>
      <c r="Q140" s="1">
        <v>240.95972634558819</v>
      </c>
      <c r="R140">
        <v>350</v>
      </c>
      <c r="U140" s="1">
        <v>225.39718499899936</v>
      </c>
      <c r="V140">
        <v>350</v>
      </c>
      <c r="Y140" s="1">
        <v>563.49296249749852</v>
      </c>
      <c r="Z140">
        <v>350</v>
      </c>
      <c r="AC140" s="1">
        <v>647.30299159801302</v>
      </c>
      <c r="AD140">
        <v>350</v>
      </c>
      <c r="AG140" s="1">
        <v>788.72584672464495</v>
      </c>
      <c r="AH140">
        <v>350</v>
      </c>
      <c r="AK140" s="1">
        <v>1109.779022562853</v>
      </c>
      <c r="AL140">
        <v>350</v>
      </c>
    </row>
    <row r="141" spans="1:39" x14ac:dyDescent="0.2">
      <c r="A141" s="1">
        <v>493.27466863108538</v>
      </c>
      <c r="B141">
        <v>375</v>
      </c>
      <c r="E141" s="1">
        <v>358.35573866190231</v>
      </c>
      <c r="F141">
        <v>375</v>
      </c>
      <c r="I141" s="1">
        <v>301.07904230724483</v>
      </c>
      <c r="J141">
        <v>375</v>
      </c>
      <c r="M141" s="1">
        <v>268.76680399642669</v>
      </c>
      <c r="N141">
        <v>375</v>
      </c>
      <c r="Q141" s="1">
        <v>234.59889973428292</v>
      </c>
      <c r="R141">
        <v>375</v>
      </c>
      <c r="U141" s="1">
        <v>219.44717652995473</v>
      </c>
      <c r="V141">
        <v>375</v>
      </c>
      <c r="Y141" s="1">
        <v>548.61794132488683</v>
      </c>
      <c r="Z141">
        <v>375</v>
      </c>
      <c r="AC141" s="1">
        <v>630.21556310123208</v>
      </c>
      <c r="AD141">
        <v>375</v>
      </c>
      <c r="AG141" s="1">
        <v>767.90515427550497</v>
      </c>
      <c r="AH141">
        <v>375</v>
      </c>
      <c r="AK141" s="1">
        <v>1080.4832060110782</v>
      </c>
      <c r="AL141">
        <v>375</v>
      </c>
    </row>
    <row r="142" spans="1:39" x14ac:dyDescent="0.2">
      <c r="A142" s="1">
        <v>480.3445893700902</v>
      </c>
      <c r="B142">
        <v>400</v>
      </c>
      <c r="E142" s="1">
        <v>348.96225385679412</v>
      </c>
      <c r="F142">
        <v>400</v>
      </c>
      <c r="I142" s="1">
        <v>293.18693649191727</v>
      </c>
      <c r="J142">
        <v>400</v>
      </c>
      <c r="M142" s="1">
        <v>261.72169039259563</v>
      </c>
      <c r="N142">
        <v>400</v>
      </c>
      <c r="Q142" s="1">
        <v>228.44942042587925</v>
      </c>
      <c r="R142">
        <v>400</v>
      </c>
      <c r="U142" s="1">
        <v>213.69486536017922</v>
      </c>
      <c r="V142">
        <v>400</v>
      </c>
      <c r="Y142" s="1">
        <v>534.23716340044803</v>
      </c>
      <c r="Z142">
        <v>400</v>
      </c>
      <c r="AC142" s="1">
        <v>613.69588816023895</v>
      </c>
      <c r="AD142">
        <v>400</v>
      </c>
      <c r="AG142" s="1">
        <v>747.77625826455892</v>
      </c>
      <c r="AH142">
        <v>400</v>
      </c>
      <c r="AK142" s="1">
        <v>1052.1607836724888</v>
      </c>
      <c r="AL142">
        <v>400</v>
      </c>
    </row>
    <row r="143" spans="1:39" x14ac:dyDescent="0.2">
      <c r="A143" s="1">
        <v>467.83742843346982</v>
      </c>
      <c r="B143">
        <v>425</v>
      </c>
      <c r="E143" s="1">
        <v>339.87601209123949</v>
      </c>
      <c r="F143">
        <v>425</v>
      </c>
      <c r="I143" s="1">
        <v>285.55296646213549</v>
      </c>
      <c r="J143">
        <v>425</v>
      </c>
      <c r="M143" s="1">
        <v>254.90700906842963</v>
      </c>
      <c r="N143">
        <v>425</v>
      </c>
      <c r="Q143" s="1">
        <v>222.5010789011188</v>
      </c>
      <c r="R143">
        <v>425</v>
      </c>
      <c r="U143" s="1">
        <v>208.13070135888566</v>
      </c>
      <c r="V143">
        <v>425</v>
      </c>
      <c r="Y143" s="1">
        <v>520.32675339721413</v>
      </c>
      <c r="Z143">
        <v>425</v>
      </c>
      <c r="AC143" s="1">
        <v>597.7165403977757</v>
      </c>
      <c r="AD143">
        <v>425</v>
      </c>
      <c r="AG143" s="1">
        <v>728.30574019551318</v>
      </c>
      <c r="AH143">
        <v>425</v>
      </c>
      <c r="AK143" s="1">
        <v>1024.7647339535788</v>
      </c>
      <c r="AL143">
        <v>425</v>
      </c>
    </row>
    <row r="144" spans="1:39" x14ac:dyDescent="0.2">
      <c r="A144" s="1">
        <v>455.73320814698644</v>
      </c>
      <c r="B144">
        <v>450</v>
      </c>
      <c r="E144" s="1">
        <v>331.08249992138349</v>
      </c>
      <c r="F144">
        <v>450</v>
      </c>
      <c r="I144" s="1">
        <v>278.16493848607109</v>
      </c>
      <c r="J144">
        <v>450</v>
      </c>
      <c r="M144" s="1">
        <v>248.31187494103762</v>
      </c>
      <c r="N144">
        <v>450</v>
      </c>
      <c r="Q144" s="1">
        <v>216.74437388070729</v>
      </c>
      <c r="R144">
        <v>450</v>
      </c>
      <c r="U144" s="1">
        <v>202.74579689311031</v>
      </c>
      <c r="V144">
        <v>450</v>
      </c>
      <c r="Y144" s="1">
        <v>506.86449223277577</v>
      </c>
      <c r="Z144">
        <v>450</v>
      </c>
      <c r="AC144" s="1">
        <v>582.2519960194536</v>
      </c>
      <c r="AD144">
        <v>450</v>
      </c>
      <c r="AG144" s="1">
        <v>709.46249983153598</v>
      </c>
      <c r="AH144">
        <v>450</v>
      </c>
      <c r="AK144" s="1">
        <v>998.25129717463653</v>
      </c>
      <c r="AL144">
        <v>450</v>
      </c>
    </row>
    <row r="145" spans="1:38" x14ac:dyDescent="0.2">
      <c r="A145" s="1">
        <v>444.01330597341598</v>
      </c>
      <c r="B145">
        <v>475</v>
      </c>
      <c r="E145" s="1">
        <v>322.56818838758744</v>
      </c>
      <c r="F145">
        <v>475</v>
      </c>
      <c r="I145" s="1">
        <v>271.01148596408035</v>
      </c>
      <c r="J145">
        <v>475</v>
      </c>
      <c r="M145" s="1">
        <v>241.92614129069062</v>
      </c>
      <c r="N145">
        <v>475</v>
      </c>
      <c r="Q145" s="1">
        <v>211.17044858155643</v>
      </c>
      <c r="R145">
        <v>475</v>
      </c>
      <c r="U145" s="1">
        <v>197.53186720088686</v>
      </c>
      <c r="V145">
        <v>475</v>
      </c>
      <c r="Y145" s="1">
        <v>493.82966800221715</v>
      </c>
      <c r="Z145">
        <v>475</v>
      </c>
      <c r="AC145" s="1">
        <v>567.27846257548924</v>
      </c>
      <c r="AD145">
        <v>475</v>
      </c>
      <c r="AG145" s="1">
        <v>691.21754654483027</v>
      </c>
      <c r="AH145">
        <v>475</v>
      </c>
      <c r="AK145" s="1">
        <v>972.57968198754861</v>
      </c>
      <c r="AL145">
        <v>475</v>
      </c>
    </row>
    <row r="146" spans="1:38" x14ac:dyDescent="0.2">
      <c r="A146" s="1">
        <v>432.66033506648154</v>
      </c>
      <c r="B146">
        <v>500</v>
      </c>
      <c r="E146" s="1">
        <v>314.32044623887339</v>
      </c>
      <c r="F146">
        <v>500</v>
      </c>
      <c r="I146" s="1">
        <v>264.08199652265472</v>
      </c>
      <c r="J146">
        <v>500</v>
      </c>
      <c r="M146" s="1">
        <v>235.74033467915504</v>
      </c>
      <c r="N146">
        <v>500</v>
      </c>
      <c r="Q146" s="1">
        <v>205.77103390884787</v>
      </c>
      <c r="R146">
        <v>500</v>
      </c>
      <c r="U146" s="1">
        <v>192.48117725228792</v>
      </c>
      <c r="V146">
        <v>500</v>
      </c>
      <c r="Y146" s="1">
        <v>481.20294313071986</v>
      </c>
      <c r="Z146">
        <v>500</v>
      </c>
      <c r="AC146" s="1">
        <v>552.77372635450843</v>
      </c>
      <c r="AD146">
        <v>500</v>
      </c>
      <c r="AG146" s="1">
        <v>673.5438133690144</v>
      </c>
      <c r="AH146">
        <v>500</v>
      </c>
      <c r="AK146" s="1">
        <v>947.71180373765378</v>
      </c>
      <c r="AL146">
        <v>500</v>
      </c>
    </row>
    <row r="147" spans="1:38" x14ac:dyDescent="0.2">
      <c r="A147" s="1">
        <v>421.65803756212983</v>
      </c>
      <c r="B147">
        <v>525</v>
      </c>
      <c r="E147" s="1">
        <v>306.32746241083356</v>
      </c>
      <c r="F147">
        <v>525</v>
      </c>
      <c r="I147" s="1">
        <v>257.36654688283744</v>
      </c>
      <c r="J147">
        <v>525</v>
      </c>
      <c r="M147" s="1">
        <v>229.74559680812519</v>
      </c>
      <c r="N147">
        <v>525</v>
      </c>
      <c r="Q147" s="1">
        <v>200.5383977059121</v>
      </c>
      <c r="R147">
        <v>525</v>
      </c>
      <c r="U147" s="1">
        <v>187.58649427703409</v>
      </c>
      <c r="V147">
        <v>525</v>
      </c>
      <c r="Y147" s="1">
        <v>468.96623569258526</v>
      </c>
      <c r="Z147">
        <v>525</v>
      </c>
      <c r="AC147" s="1">
        <v>538.71701605078511</v>
      </c>
      <c r="AD147">
        <v>525</v>
      </c>
      <c r="AG147" s="1">
        <v>656.41599088035764</v>
      </c>
      <c r="AH147">
        <v>525</v>
      </c>
      <c r="AK147" s="1">
        <v>923.61205072584778</v>
      </c>
      <c r="AL147">
        <v>525</v>
      </c>
    </row>
    <row r="148" spans="1:38" x14ac:dyDescent="0.2">
      <c r="A148" s="1">
        <v>410.99118902616635</v>
      </c>
      <c r="B148">
        <v>550</v>
      </c>
      <c r="E148" s="1">
        <v>298.57817660844694</v>
      </c>
      <c r="F148">
        <v>550</v>
      </c>
      <c r="I148" s="1">
        <v>250.85584453812365</v>
      </c>
      <c r="J148">
        <v>550</v>
      </c>
      <c r="M148" s="1">
        <v>223.9336324563352</v>
      </c>
      <c r="N148">
        <v>550</v>
      </c>
      <c r="Q148" s="1">
        <v>195.46529931001447</v>
      </c>
      <c r="R148">
        <v>550</v>
      </c>
      <c r="U148" s="1">
        <v>182.84104525532376</v>
      </c>
      <c r="V148">
        <v>550</v>
      </c>
      <c r="Y148" s="1">
        <v>457.10261313830944</v>
      </c>
      <c r="Z148">
        <v>550</v>
      </c>
      <c r="AC148" s="1">
        <v>525.08888068501915</v>
      </c>
      <c r="AD148">
        <v>550</v>
      </c>
      <c r="AG148" s="1">
        <v>639.81037844667208</v>
      </c>
      <c r="AH148">
        <v>550</v>
      </c>
      <c r="AK148" s="1">
        <v>900.2470749078982</v>
      </c>
      <c r="AL148">
        <v>550</v>
      </c>
    </row>
    <row r="149" spans="1:38" x14ac:dyDescent="0.2">
      <c r="A149" s="1">
        <v>400.64551269998628</v>
      </c>
      <c r="B149">
        <v>575</v>
      </c>
      <c r="E149" s="1">
        <v>291.06221700704691</v>
      </c>
      <c r="F149">
        <v>575</v>
      </c>
      <c r="I149" s="1">
        <v>244.54117541280391</v>
      </c>
      <c r="J149">
        <v>575</v>
      </c>
      <c r="M149" s="1">
        <v>218.29666275528518</v>
      </c>
      <c r="N149">
        <v>575</v>
      </c>
      <c r="Q149" s="1">
        <v>190.5449487680651</v>
      </c>
      <c r="R149">
        <v>575</v>
      </c>
      <c r="U149" s="1">
        <v>178.23847876762323</v>
      </c>
      <c r="V149">
        <v>575</v>
      </c>
      <c r="Y149" s="1">
        <v>445.59619691905812</v>
      </c>
      <c r="Z149">
        <v>575</v>
      </c>
      <c r="AC149" s="1">
        <v>511.87108004331839</v>
      </c>
      <c r="AD149">
        <v>575</v>
      </c>
      <c r="AG149" s="1">
        <v>623.70475072938632</v>
      </c>
      <c r="AH149">
        <v>575</v>
      </c>
      <c r="AK149" s="1">
        <v>877.58560405579544</v>
      </c>
      <c r="AL149">
        <v>575</v>
      </c>
    </row>
    <row r="150" spans="1:38" x14ac:dyDescent="0.2">
      <c r="A150" s="1">
        <v>390.60760237390878</v>
      </c>
      <c r="B150">
        <v>600</v>
      </c>
      <c r="E150" s="1">
        <v>283.76984422109774</v>
      </c>
      <c r="F150">
        <v>600</v>
      </c>
      <c r="I150" s="1">
        <v>238.41435678632044</v>
      </c>
      <c r="J150">
        <v>600</v>
      </c>
      <c r="M150" s="1">
        <v>212.82738316582331</v>
      </c>
      <c r="N150">
        <v>600</v>
      </c>
      <c r="Q150" s="1">
        <v>185.77097015557251</v>
      </c>
      <c r="R150">
        <v>600</v>
      </c>
      <c r="U150" s="1">
        <v>173.7728306826898</v>
      </c>
      <c r="V150">
        <v>600</v>
      </c>
      <c r="Y150" s="1">
        <v>434.43207670672456</v>
      </c>
      <c r="Z150">
        <v>600</v>
      </c>
      <c r="AC150" s="1">
        <v>499.04648613894386</v>
      </c>
      <c r="AD150">
        <v>600</v>
      </c>
      <c r="AG150" s="1">
        <v>608.07823761663803</v>
      </c>
      <c r="AH150">
        <v>600</v>
      </c>
      <c r="AK150" s="1">
        <v>855.59827281725711</v>
      </c>
      <c r="AL150">
        <v>600</v>
      </c>
    </row>
    <row r="151" spans="1:38" x14ac:dyDescent="0.2">
      <c r="A151" s="1">
        <v>380.86485287646565</v>
      </c>
      <c r="B151">
        <v>625</v>
      </c>
      <c r="E151" s="1">
        <v>276.69190080583337</v>
      </c>
      <c r="F151">
        <v>625</v>
      </c>
      <c r="I151" s="1">
        <v>232.4676948661573</v>
      </c>
      <c r="J151">
        <v>625</v>
      </c>
      <c r="M151" s="1">
        <v>207.518925604375</v>
      </c>
      <c r="N151">
        <v>625</v>
      </c>
      <c r="Q151" s="1">
        <v>181.13736851770634</v>
      </c>
      <c r="R151">
        <v>625</v>
      </c>
      <c r="U151" s="1">
        <v>169.43849323376733</v>
      </c>
      <c r="V151">
        <v>625</v>
      </c>
      <c r="Y151" s="1">
        <v>423.59623308441837</v>
      </c>
      <c r="Z151">
        <v>625</v>
      </c>
      <c r="AC151" s="1">
        <v>486.59899440431877</v>
      </c>
      <c r="AD151">
        <v>625</v>
      </c>
      <c r="AG151" s="1">
        <v>592.91121601250006</v>
      </c>
      <c r="AH151">
        <v>625</v>
      </c>
      <c r="AK151" s="1">
        <v>834.25747045744015</v>
      </c>
      <c r="AL151">
        <v>625</v>
      </c>
    </row>
    <row r="152" spans="1:38" x14ac:dyDescent="0.2">
      <c r="A152" s="1">
        <v>371.40539730278692</v>
      </c>
      <c r="B152">
        <v>650</v>
      </c>
      <c r="E152" s="1">
        <v>269.81976565473701</v>
      </c>
      <c r="F152">
        <v>650</v>
      </c>
      <c r="I152" s="1">
        <v>226.69394647405986</v>
      </c>
      <c r="J152">
        <v>650</v>
      </c>
      <c r="M152" s="1">
        <v>202.36482424105276</v>
      </c>
      <c r="N152">
        <v>650</v>
      </c>
      <c r="Q152" s="1">
        <v>176.6385000154398</v>
      </c>
      <c r="R152">
        <v>650</v>
      </c>
      <c r="U152" s="1">
        <v>165.23018709285978</v>
      </c>
      <c r="V152">
        <v>650</v>
      </c>
      <c r="Y152" s="1">
        <v>413.07546773214949</v>
      </c>
      <c r="Z152">
        <v>650</v>
      </c>
      <c r="AC152" s="1">
        <v>474.51344349301593</v>
      </c>
      <c r="AD152">
        <v>650</v>
      </c>
      <c r="AG152" s="1">
        <v>578.18521211729364</v>
      </c>
      <c r="AH152">
        <v>650</v>
      </c>
      <c r="AK152" s="1">
        <v>813.5372033621685</v>
      </c>
      <c r="AL152">
        <v>650</v>
      </c>
    </row>
    <row r="153" spans="1:38" x14ac:dyDescent="0.2">
      <c r="A153" s="1">
        <v>362.21805022000274</v>
      </c>
      <c r="B153">
        <v>675</v>
      </c>
      <c r="E153" s="1">
        <v>263.14531273922211</v>
      </c>
      <c r="F153">
        <v>675</v>
      </c>
      <c r="I153" s="1">
        <v>221.08628438043291</v>
      </c>
      <c r="J153">
        <v>675</v>
      </c>
      <c r="M153" s="1">
        <v>197.35898455441657</v>
      </c>
      <c r="N153">
        <v>675</v>
      </c>
      <c r="Q153" s="1">
        <v>172.26904491433038</v>
      </c>
      <c r="R153">
        <v>675</v>
      </c>
      <c r="U153" s="1">
        <v>161.14293610404903</v>
      </c>
      <c r="V153">
        <v>675</v>
      </c>
      <c r="Y153" s="1">
        <v>402.85734026012261</v>
      </c>
      <c r="Z153">
        <v>675</v>
      </c>
      <c r="AC153" s="1">
        <v>462.77554271807554</v>
      </c>
      <c r="AD153">
        <v>675</v>
      </c>
      <c r="AG153" s="1">
        <v>563.88281301261884</v>
      </c>
      <c r="AH153">
        <v>675</v>
      </c>
      <c r="AK153" s="1">
        <v>793.4129706333897</v>
      </c>
      <c r="AL153">
        <v>675</v>
      </c>
    </row>
    <row r="154" spans="1:38" x14ac:dyDescent="0.2">
      <c r="A154" s="1">
        <v>353.29225618558945</v>
      </c>
      <c r="B154">
        <v>700</v>
      </c>
      <c r="E154" s="1">
        <v>256.66087370807776</v>
      </c>
      <c r="F154">
        <v>700</v>
      </c>
      <c r="I154" s="1">
        <v>215.63826588158975</v>
      </c>
      <c r="J154">
        <v>700</v>
      </c>
      <c r="M154" s="1">
        <v>192.4956552810583</v>
      </c>
      <c r="N154">
        <v>700</v>
      </c>
      <c r="Q154" s="1">
        <v>168.02398310010966</v>
      </c>
      <c r="R154">
        <v>700</v>
      </c>
      <c r="U154" s="1">
        <v>157.17204438042629</v>
      </c>
      <c r="V154">
        <v>700</v>
      </c>
      <c r="Y154" s="1">
        <v>392.93011095106573</v>
      </c>
      <c r="Z154">
        <v>700</v>
      </c>
      <c r="AC154" s="1">
        <v>451.37180627822516</v>
      </c>
      <c r="AD154">
        <v>700</v>
      </c>
      <c r="AG154" s="1">
        <v>549.98758651730952</v>
      </c>
      <c r="AH154">
        <v>700</v>
      </c>
      <c r="AK154" s="1">
        <v>773.8616513222612</v>
      </c>
      <c r="AL154">
        <v>700</v>
      </c>
    </row>
    <row r="155" spans="1:38" x14ac:dyDescent="0.2">
      <c r="A155" s="1">
        <v>344.61804299851542</v>
      </c>
      <c r="B155">
        <v>725</v>
      </c>
      <c r="E155" s="1">
        <v>250.35920392521385</v>
      </c>
      <c r="F155">
        <v>725</v>
      </c>
      <c r="I155" s="1">
        <v>210.34380426575049</v>
      </c>
      <c r="J155">
        <v>725</v>
      </c>
      <c r="M155" s="1">
        <v>187.76940294391039</v>
      </c>
      <c r="N155">
        <v>725</v>
      </c>
      <c r="Q155" s="1">
        <v>163.89857184516828</v>
      </c>
      <c r="R155">
        <v>725</v>
      </c>
      <c r="U155" s="1">
        <v>153.31307550654333</v>
      </c>
      <c r="V155">
        <v>725</v>
      </c>
      <c r="Y155" s="1">
        <v>383.28268876635838</v>
      </c>
      <c r="Z155">
        <v>725</v>
      </c>
      <c r="AC155" s="1">
        <v>440.28949353080043</v>
      </c>
      <c r="AD155">
        <v>725</v>
      </c>
      <c r="AG155" s="1">
        <v>536.48400841117257</v>
      </c>
      <c r="AH155">
        <v>725</v>
      </c>
      <c r="AK155" s="1">
        <v>754.86140202909758</v>
      </c>
      <c r="AL155">
        <v>725</v>
      </c>
    </row>
    <row r="156" spans="1:38" x14ac:dyDescent="0.2">
      <c r="A156" s="1">
        <v>336.1859791751491</v>
      </c>
      <c r="B156">
        <v>750</v>
      </c>
      <c r="E156" s="1">
        <v>244.23345157662405</v>
      </c>
      <c r="F156">
        <v>750</v>
      </c>
      <c r="I156" s="1">
        <v>205.19714285769959</v>
      </c>
      <c r="J156">
        <v>750</v>
      </c>
      <c r="M156" s="1">
        <v>183.17508868246802</v>
      </c>
      <c r="N156">
        <v>750</v>
      </c>
      <c r="Q156" s="1">
        <v>159.88832558431594</v>
      </c>
      <c r="R156">
        <v>750</v>
      </c>
      <c r="U156" s="1">
        <v>149.56183362036816</v>
      </c>
      <c r="V156">
        <v>750</v>
      </c>
      <c r="Y156" s="1">
        <v>373.90458405092039</v>
      </c>
      <c r="Z156">
        <v>750</v>
      </c>
      <c r="AC156" s="1">
        <v>429.51655466228817</v>
      </c>
      <c r="AD156">
        <v>750</v>
      </c>
      <c r="AG156" s="1">
        <v>523.3573962356229</v>
      </c>
      <c r="AH156">
        <v>750</v>
      </c>
      <c r="AK156" s="1">
        <v>736.39156375736036</v>
      </c>
      <c r="AL156">
        <v>750</v>
      </c>
    </row>
    <row r="157" spans="1:38" x14ac:dyDescent="0.2">
      <c r="A157" s="1">
        <v>327.98713520396296</v>
      </c>
      <c r="B157">
        <v>775</v>
      </c>
      <c r="E157" s="1">
        <v>238.27712952258105</v>
      </c>
      <c r="F157">
        <v>775</v>
      </c>
      <c r="I157" s="1">
        <v>200.19283136989964</v>
      </c>
      <c r="J157">
        <v>775</v>
      </c>
      <c r="M157" s="1">
        <v>178.70784714193576</v>
      </c>
      <c r="N157">
        <v>775</v>
      </c>
      <c r="Q157" s="1">
        <v>155.9889974877178</v>
      </c>
      <c r="R157">
        <v>775</v>
      </c>
      <c r="U157" s="1">
        <v>145.91434617634525</v>
      </c>
      <c r="V157">
        <v>775</v>
      </c>
      <c r="Y157" s="1">
        <v>364.78586544086318</v>
      </c>
      <c r="Z157">
        <v>775</v>
      </c>
      <c r="AC157" s="1">
        <v>419.04158118672018</v>
      </c>
      <c r="AD157">
        <v>775</v>
      </c>
      <c r="AG157" s="1">
        <v>510.59384897695941</v>
      </c>
      <c r="AH157">
        <v>775</v>
      </c>
      <c r="AK157" s="1">
        <v>718.43257704483347</v>
      </c>
      <c r="AL157">
        <v>775</v>
      </c>
    </row>
    <row r="158" spans="1:38" x14ac:dyDescent="0.2">
      <c r="A158" s="1">
        <v>320.01304818668854</v>
      </c>
      <c r="B158">
        <v>800</v>
      </c>
      <c r="E158" s="1">
        <v>232.48408961003122</v>
      </c>
      <c r="F158">
        <v>800</v>
      </c>
      <c r="I158" s="1">
        <v>195.32570432058594</v>
      </c>
      <c r="J158">
        <v>800</v>
      </c>
      <c r="M158" s="1">
        <v>174.36306720752341</v>
      </c>
      <c r="N158">
        <v>800</v>
      </c>
      <c r="Q158" s="1">
        <v>152.19656264440925</v>
      </c>
      <c r="R158">
        <v>800</v>
      </c>
      <c r="U158" s="1">
        <v>142.36684821501419</v>
      </c>
      <c r="V158">
        <v>800</v>
      </c>
      <c r="Y158" s="1">
        <v>355.91712053753548</v>
      </c>
      <c r="Z158">
        <v>800</v>
      </c>
      <c r="AC158" s="1">
        <v>408.85376077065041</v>
      </c>
      <c r="AD158">
        <v>800</v>
      </c>
      <c r="AG158" s="1">
        <v>498.18019202149549</v>
      </c>
      <c r="AH158">
        <v>800</v>
      </c>
      <c r="AK158" s="1">
        <v>700.96590451257805</v>
      </c>
      <c r="AL158">
        <v>800</v>
      </c>
    </row>
    <row r="159" spans="1:38" x14ac:dyDescent="0.2">
      <c r="A159" s="1"/>
    </row>
    <row r="160" spans="1:38" x14ac:dyDescent="0.2">
      <c r="A160" s="1"/>
    </row>
    <row r="161" spans="1:39" x14ac:dyDescent="0.2">
      <c r="A161" s="377" t="s">
        <v>29</v>
      </c>
      <c r="B161" s="377"/>
      <c r="C161" s="377"/>
      <c r="E161" s="377" t="s">
        <v>30</v>
      </c>
      <c r="F161" s="377"/>
      <c r="G161" s="377"/>
      <c r="I161" s="377" t="s">
        <v>31</v>
      </c>
      <c r="J161" s="377"/>
      <c r="K161" s="377"/>
      <c r="M161" s="377" t="s">
        <v>32</v>
      </c>
      <c r="N161" s="377"/>
      <c r="O161" s="377"/>
      <c r="Q161" s="377" t="s">
        <v>51</v>
      </c>
      <c r="R161" s="377"/>
      <c r="S161" s="377"/>
      <c r="U161" s="377" t="s">
        <v>52</v>
      </c>
      <c r="V161" s="377"/>
      <c r="W161" s="377"/>
      <c r="Y161" s="377" t="s">
        <v>53</v>
      </c>
      <c r="Z161" s="377"/>
      <c r="AA161" s="377"/>
      <c r="AC161" s="377" t="s">
        <v>54</v>
      </c>
      <c r="AD161" s="377"/>
      <c r="AE161" s="377"/>
      <c r="AG161" s="377" t="s">
        <v>28</v>
      </c>
      <c r="AH161" s="377"/>
      <c r="AI161" s="377"/>
      <c r="AK161" s="377" t="s">
        <v>27</v>
      </c>
      <c r="AL161" s="377"/>
      <c r="AM161" s="377"/>
    </row>
    <row r="162" spans="1:39" x14ac:dyDescent="0.2">
      <c r="A162" s="1">
        <v>570.23561477179248</v>
      </c>
      <c r="B162">
        <v>100</v>
      </c>
      <c r="E162" s="1">
        <v>414.2665697996722</v>
      </c>
      <c r="F162">
        <v>100</v>
      </c>
      <c r="I162" s="1">
        <v>348.05353630144822</v>
      </c>
      <c r="J162">
        <v>100</v>
      </c>
      <c r="M162" s="1">
        <v>310.69992734975409</v>
      </c>
      <c r="N162">
        <v>100</v>
      </c>
      <c r="Q162" s="1">
        <v>271.20113057095784</v>
      </c>
      <c r="R162">
        <v>100</v>
      </c>
      <c r="U162" s="1">
        <v>253.68542837556711</v>
      </c>
      <c r="V162">
        <v>100</v>
      </c>
      <c r="Y162" s="1">
        <v>634.21357093891788</v>
      </c>
      <c r="Z162">
        <v>100</v>
      </c>
      <c r="AC162" s="1">
        <v>728.54209209869703</v>
      </c>
      <c r="AD162">
        <v>100</v>
      </c>
      <c r="AG162" s="1">
        <v>887.71407814215456</v>
      </c>
      <c r="AH162">
        <v>100</v>
      </c>
      <c r="AK162" s="1">
        <v>1249.0607047391711</v>
      </c>
      <c r="AL162">
        <v>100</v>
      </c>
    </row>
    <row r="163" spans="1:39" x14ac:dyDescent="0.2">
      <c r="A163" s="1">
        <v>553.69310894873513</v>
      </c>
      <c r="B163">
        <v>125</v>
      </c>
      <c r="E163" s="1">
        <v>402.24871794039876</v>
      </c>
      <c r="F163">
        <v>125</v>
      </c>
      <c r="I163" s="1">
        <v>337.95652113464456</v>
      </c>
      <c r="J163">
        <v>125</v>
      </c>
      <c r="M163" s="1">
        <v>301.68653845529906</v>
      </c>
      <c r="N163">
        <v>125</v>
      </c>
      <c r="Q163" s="1">
        <v>263.33359973725987</v>
      </c>
      <c r="R163">
        <v>125</v>
      </c>
      <c r="U163" s="1">
        <v>246.32602716067265</v>
      </c>
      <c r="V163">
        <v>125</v>
      </c>
      <c r="Y163" s="1">
        <v>615.81506790168169</v>
      </c>
      <c r="Z163">
        <v>125</v>
      </c>
      <c r="AC163" s="1">
        <v>707.40712351959792</v>
      </c>
      <c r="AD163">
        <v>125</v>
      </c>
      <c r="AG163" s="1">
        <v>861.96153844371167</v>
      </c>
      <c r="AH163">
        <v>125</v>
      </c>
      <c r="AK163" s="1">
        <v>1212.8255180089122</v>
      </c>
      <c r="AL163">
        <v>125</v>
      </c>
    </row>
    <row r="164" spans="1:39" x14ac:dyDescent="0.2">
      <c r="A164" s="1">
        <v>537.8191482388828</v>
      </c>
      <c r="B164">
        <v>150</v>
      </c>
      <c r="E164" s="1">
        <v>390.71655284573518</v>
      </c>
      <c r="F164">
        <v>150</v>
      </c>
      <c r="I164" s="1">
        <v>328.26756446997621</v>
      </c>
      <c r="J164">
        <v>150</v>
      </c>
      <c r="M164" s="1">
        <v>293.03741463430134</v>
      </c>
      <c r="N164">
        <v>150</v>
      </c>
      <c r="Q164" s="1">
        <v>255.78402552682786</v>
      </c>
      <c r="R164">
        <v>150</v>
      </c>
      <c r="U164" s="1">
        <v>239.26404713280746</v>
      </c>
      <c r="V164">
        <v>150</v>
      </c>
      <c r="Y164" s="1">
        <v>598.16011783201861</v>
      </c>
      <c r="Z164">
        <v>150</v>
      </c>
      <c r="AC164" s="1">
        <v>687.12629881159262</v>
      </c>
      <c r="AD164">
        <v>150</v>
      </c>
      <c r="AG164" s="1">
        <v>837.2497560980039</v>
      </c>
      <c r="AH164">
        <v>150</v>
      </c>
      <c r="AK164" s="1">
        <v>1178.0547319730645</v>
      </c>
      <c r="AL164">
        <v>150</v>
      </c>
    </row>
    <row r="165" spans="1:39" x14ac:dyDescent="0.2">
      <c r="A165" s="1">
        <v>522.57196675014836</v>
      </c>
      <c r="B165">
        <v>175</v>
      </c>
      <c r="E165" s="1">
        <v>379.63973229853229</v>
      </c>
      <c r="F165">
        <v>175</v>
      </c>
      <c r="I165" s="1">
        <v>318.96117374601602</v>
      </c>
      <c r="J165">
        <v>175</v>
      </c>
      <c r="M165" s="1">
        <v>284.72979922389925</v>
      </c>
      <c r="N165">
        <v>175</v>
      </c>
      <c r="Q165" s="1">
        <v>248.53254429582799</v>
      </c>
      <c r="R165">
        <v>175</v>
      </c>
      <c r="U165" s="1">
        <v>232.48090755455164</v>
      </c>
      <c r="V165">
        <v>175</v>
      </c>
      <c r="Y165" s="1">
        <v>581.20226888637922</v>
      </c>
      <c r="Z165">
        <v>175</v>
      </c>
      <c r="AC165" s="1">
        <v>667.64625720658603</v>
      </c>
      <c r="AD165">
        <v>175</v>
      </c>
      <c r="AG165" s="1">
        <v>813.51371206828367</v>
      </c>
      <c r="AH165">
        <v>175</v>
      </c>
      <c r="AK165" s="1">
        <v>1144.6568614047274</v>
      </c>
      <c r="AL165">
        <v>175</v>
      </c>
    </row>
    <row r="166" spans="1:39" x14ac:dyDescent="0.2">
      <c r="A166" s="1">
        <v>507.91351952500958</v>
      </c>
      <c r="B166">
        <v>200</v>
      </c>
      <c r="E166" s="1">
        <v>368.99061727793156</v>
      </c>
      <c r="F166">
        <v>200</v>
      </c>
      <c r="I166" s="1">
        <v>310.01412754049358</v>
      </c>
      <c r="J166">
        <v>200</v>
      </c>
      <c r="M166" s="1">
        <v>276.74296295844869</v>
      </c>
      <c r="N166">
        <v>200</v>
      </c>
      <c r="Q166" s="1">
        <v>241.56106205780026</v>
      </c>
      <c r="R166">
        <v>200</v>
      </c>
      <c r="U166" s="1">
        <v>225.95968305138169</v>
      </c>
      <c r="V166">
        <v>200</v>
      </c>
      <c r="Y166" s="1">
        <v>564.89920762845429</v>
      </c>
      <c r="Z166">
        <v>200</v>
      </c>
      <c r="AC166" s="1">
        <v>648.91839186167101</v>
      </c>
      <c r="AD166">
        <v>200</v>
      </c>
      <c r="AG166" s="1">
        <v>790.69417988128203</v>
      </c>
      <c r="AH166">
        <v>200</v>
      </c>
      <c r="AK166" s="1">
        <v>1112.5485715204813</v>
      </c>
      <c r="AL166">
        <v>200</v>
      </c>
    </row>
    <row r="167" spans="1:39" x14ac:dyDescent="0.2">
      <c r="A167" s="1">
        <v>493.80905903949406</v>
      </c>
      <c r="B167">
        <v>225</v>
      </c>
      <c r="E167" s="1">
        <v>358.74396429301078</v>
      </c>
      <c r="F167">
        <v>225</v>
      </c>
      <c r="I167" s="1">
        <v>301.40521707885512</v>
      </c>
      <c r="J167">
        <v>225</v>
      </c>
      <c r="M167" s="1">
        <v>269.05797321975808</v>
      </c>
      <c r="N167">
        <v>225</v>
      </c>
      <c r="Q167" s="1">
        <v>234.85305306875102</v>
      </c>
      <c r="R167">
        <v>225</v>
      </c>
      <c r="U167" s="1">
        <v>219.68491520527616</v>
      </c>
      <c r="V167">
        <v>225</v>
      </c>
      <c r="Y167" s="1">
        <v>549.21228801319046</v>
      </c>
      <c r="Z167">
        <v>225</v>
      </c>
      <c r="AC167" s="1">
        <v>630.89830878749603</v>
      </c>
      <c r="AD167">
        <v>225</v>
      </c>
      <c r="AG167" s="1">
        <v>768.73706634216603</v>
      </c>
      <c r="AH167">
        <v>225</v>
      </c>
      <c r="AK167" s="1">
        <v>1081.6537503314291</v>
      </c>
      <c r="AL167">
        <v>225</v>
      </c>
    </row>
    <row r="168" spans="1:39" x14ac:dyDescent="0.2">
      <c r="A168" s="1">
        <v>480.22676951743773</v>
      </c>
      <c r="B168">
        <v>250</v>
      </c>
      <c r="E168" s="1">
        <v>348.87665971825157</v>
      </c>
      <c r="F168">
        <v>250</v>
      </c>
      <c r="I168" s="1">
        <v>293.11502303141089</v>
      </c>
      <c r="J168">
        <v>250</v>
      </c>
      <c r="M168" s="1">
        <v>261.65749478868872</v>
      </c>
      <c r="N168">
        <v>250</v>
      </c>
      <c r="Q168" s="1">
        <v>228.39338590889133</v>
      </c>
      <c r="R168">
        <v>250</v>
      </c>
      <c r="U168" s="1">
        <v>213.64244986907863</v>
      </c>
      <c r="V168">
        <v>250</v>
      </c>
      <c r="Y168" s="1">
        <v>534.10612467269652</v>
      </c>
      <c r="Z168">
        <v>250</v>
      </c>
      <c r="AC168" s="1">
        <v>613.54535964234447</v>
      </c>
      <c r="AD168">
        <v>250</v>
      </c>
      <c r="AG168" s="1">
        <v>747.59284225339627</v>
      </c>
      <c r="AH168">
        <v>250</v>
      </c>
      <c r="AK168" s="1">
        <v>1051.9027076344896</v>
      </c>
      <c r="AL168">
        <v>250</v>
      </c>
    </row>
    <row r="169" spans="1:39" x14ac:dyDescent="0.2">
      <c r="A169" s="1">
        <v>467.13744993064722</v>
      </c>
      <c r="B169">
        <v>275</v>
      </c>
      <c r="E169" s="1">
        <v>339.36748949849709</v>
      </c>
      <c r="F169">
        <v>275</v>
      </c>
      <c r="I169" s="1">
        <v>285.12572202679814</v>
      </c>
      <c r="J169">
        <v>275</v>
      </c>
      <c r="M169" s="1">
        <v>254.52561712387279</v>
      </c>
      <c r="N169">
        <v>275</v>
      </c>
      <c r="Q169" s="1">
        <v>222.16817271914201</v>
      </c>
      <c r="R169">
        <v>275</v>
      </c>
      <c r="U169" s="1">
        <v>207.81929614016164</v>
      </c>
      <c r="V169">
        <v>275</v>
      </c>
      <c r="Y169" s="1">
        <v>519.54824035040406</v>
      </c>
      <c r="Z169">
        <v>275</v>
      </c>
      <c r="AC169" s="1">
        <v>596.82223672809948</v>
      </c>
      <c r="AD169">
        <v>275</v>
      </c>
      <c r="AG169" s="1">
        <v>727.21604892535095</v>
      </c>
      <c r="AH169">
        <v>275</v>
      </c>
      <c r="AK169" s="1">
        <v>1023.2314806467194</v>
      </c>
      <c r="AL169">
        <v>275</v>
      </c>
    </row>
    <row r="170" spans="1:39" x14ac:dyDescent="0.2">
      <c r="A170" s="1">
        <v>454.51423818241216</v>
      </c>
      <c r="B170">
        <v>300</v>
      </c>
      <c r="E170" s="1">
        <v>330.19693877291843</v>
      </c>
      <c r="F170">
        <v>300</v>
      </c>
      <c r="I170" s="1">
        <v>277.42091830244033</v>
      </c>
      <c r="J170">
        <v>300</v>
      </c>
      <c r="M170" s="1">
        <v>247.64770407968879</v>
      </c>
      <c r="N170">
        <v>300</v>
      </c>
      <c r="Q170" s="1">
        <v>216.16463802422822</v>
      </c>
      <c r="R170">
        <v>300</v>
      </c>
      <c r="U170" s="1">
        <v>202.20350365566719</v>
      </c>
      <c r="V170">
        <v>300</v>
      </c>
      <c r="Y170" s="1">
        <v>505.50875913916798</v>
      </c>
      <c r="Z170">
        <v>300</v>
      </c>
      <c r="AC170" s="1">
        <v>580.69462060271155</v>
      </c>
      <c r="AD170">
        <v>300</v>
      </c>
      <c r="AG170" s="1">
        <v>707.56486879911085</v>
      </c>
      <c r="AH170">
        <v>300</v>
      </c>
      <c r="AK170" s="1">
        <v>995.58122984884119</v>
      </c>
      <c r="AL170">
        <v>300</v>
      </c>
    </row>
    <row r="171" spans="1:39" x14ac:dyDescent="0.2">
      <c r="A171" s="1">
        <v>442.33237027732412</v>
      </c>
      <c r="B171">
        <v>325</v>
      </c>
      <c r="E171" s="1">
        <v>321.34701691594501</v>
      </c>
      <c r="F171">
        <v>325</v>
      </c>
      <c r="I171" s="1">
        <v>269.98549670952588</v>
      </c>
      <c r="J171">
        <v>325</v>
      </c>
      <c r="M171" s="1">
        <v>241.01026268695873</v>
      </c>
      <c r="N171">
        <v>325</v>
      </c>
      <c r="Q171" s="1">
        <v>210.37100419508181</v>
      </c>
      <c r="R171">
        <v>325</v>
      </c>
      <c r="U171" s="1">
        <v>196.78405545239491</v>
      </c>
      <c r="V171">
        <v>325</v>
      </c>
      <c r="Y171" s="1">
        <v>491.96013863098727</v>
      </c>
      <c r="Z171">
        <v>325</v>
      </c>
      <c r="AC171" s="1">
        <v>565.13087239172933</v>
      </c>
      <c r="AD171">
        <v>325</v>
      </c>
      <c r="AG171" s="1">
        <v>688.60075053416779</v>
      </c>
      <c r="AH171">
        <v>325</v>
      </c>
      <c r="AK171" s="1">
        <v>968.89771146379928</v>
      </c>
      <c r="AL171">
        <v>325</v>
      </c>
    </row>
    <row r="172" spans="1:39" x14ac:dyDescent="0.2">
      <c r="A172" s="1">
        <v>430.56896933395649</v>
      </c>
      <c r="B172">
        <v>350</v>
      </c>
      <c r="E172" s="1">
        <v>312.8011042585299</v>
      </c>
      <c r="F172">
        <v>350</v>
      </c>
      <c r="I172" s="1">
        <v>262.8054939331131</v>
      </c>
      <c r="J172">
        <v>350</v>
      </c>
      <c r="M172" s="1">
        <v>234.60082819389743</v>
      </c>
      <c r="N172">
        <v>350</v>
      </c>
      <c r="Q172" s="1">
        <v>204.7763911043553</v>
      </c>
      <c r="R172">
        <v>350</v>
      </c>
      <c r="U172" s="1">
        <v>191.55077410313015</v>
      </c>
      <c r="V172">
        <v>350</v>
      </c>
      <c r="Y172" s="1">
        <v>478.87693525782538</v>
      </c>
      <c r="Z172">
        <v>350</v>
      </c>
      <c r="AC172" s="1">
        <v>550.1017642275425</v>
      </c>
      <c r="AD172">
        <v>350</v>
      </c>
      <c r="AG172" s="1">
        <v>670.2880805539927</v>
      </c>
      <c r="AH172">
        <v>350</v>
      </c>
      <c r="AK172" s="1">
        <v>943.13081530398586</v>
      </c>
      <c r="AL172">
        <v>350</v>
      </c>
    </row>
    <row r="173" spans="1:39" x14ac:dyDescent="0.2">
      <c r="A173" s="1">
        <v>419.20286015181978</v>
      </c>
      <c r="B173">
        <v>375</v>
      </c>
      <c r="E173" s="1">
        <v>304.54381737416605</v>
      </c>
      <c r="F173">
        <v>375</v>
      </c>
      <c r="I173" s="1">
        <v>255.86798530974488</v>
      </c>
      <c r="J173">
        <v>375</v>
      </c>
      <c r="M173" s="1">
        <v>228.40786303062453</v>
      </c>
      <c r="N173">
        <v>375</v>
      </c>
      <c r="Q173" s="1">
        <v>199.37072793541762</v>
      </c>
      <c r="R173">
        <v>375</v>
      </c>
      <c r="U173" s="1">
        <v>186.49423922151328</v>
      </c>
      <c r="V173">
        <v>375</v>
      </c>
      <c r="Y173" s="1">
        <v>466.23559805378324</v>
      </c>
      <c r="Z173">
        <v>375</v>
      </c>
      <c r="AC173" s="1">
        <v>535.58024233717458</v>
      </c>
      <c r="AD173">
        <v>375</v>
      </c>
      <c r="AG173" s="1">
        <v>652.59389437321295</v>
      </c>
      <c r="AH173">
        <v>375</v>
      </c>
      <c r="AK173" s="1">
        <v>918.23415859329702</v>
      </c>
      <c r="AL173">
        <v>375</v>
      </c>
    </row>
    <row r="174" spans="1:39" x14ac:dyDescent="0.2">
      <c r="A174" s="1">
        <v>408.21440574113399</v>
      </c>
      <c r="B174">
        <v>400</v>
      </c>
      <c r="E174" s="1">
        <v>296.56089032051881</v>
      </c>
      <c r="F174">
        <v>400</v>
      </c>
      <c r="I174" s="1">
        <v>249.16098505046247</v>
      </c>
      <c r="J174">
        <v>400</v>
      </c>
      <c r="M174" s="1">
        <v>222.42066774038906</v>
      </c>
      <c r="N174">
        <v>400</v>
      </c>
      <c r="Q174" s="1">
        <v>194.14467543675343</v>
      </c>
      <c r="R174">
        <v>400</v>
      </c>
      <c r="U174" s="1">
        <v>181.60571473768945</v>
      </c>
      <c r="V174">
        <v>400</v>
      </c>
      <c r="Y174" s="1">
        <v>454.01428684422365</v>
      </c>
      <c r="Z174">
        <v>400</v>
      </c>
      <c r="AC174" s="1">
        <v>521.54121819011903</v>
      </c>
      <c r="AD174">
        <v>400</v>
      </c>
      <c r="AG174" s="1">
        <v>635.48762211539736</v>
      </c>
      <c r="AH174">
        <v>400</v>
      </c>
      <c r="AK174" s="1">
        <v>894.16472789718296</v>
      </c>
      <c r="AL174">
        <v>400</v>
      </c>
    </row>
    <row r="175" spans="1:39" x14ac:dyDescent="0.2">
      <c r="A175" s="1">
        <v>397.58536279522178</v>
      </c>
      <c r="B175">
        <v>425</v>
      </c>
      <c r="E175" s="1">
        <v>288.83906964255459</v>
      </c>
      <c r="F175">
        <v>425</v>
      </c>
      <c r="I175" s="1">
        <v>242.67335802578916</v>
      </c>
      <c r="J175">
        <v>425</v>
      </c>
      <c r="M175" s="1">
        <v>216.62930223191594</v>
      </c>
      <c r="N175">
        <v>425</v>
      </c>
      <c r="Q175" s="1">
        <v>189.08955718537544</v>
      </c>
      <c r="R175">
        <v>425</v>
      </c>
      <c r="U175" s="1">
        <v>176.87708460111838</v>
      </c>
      <c r="V175">
        <v>425</v>
      </c>
      <c r="Y175" s="1">
        <v>442.19271150279604</v>
      </c>
      <c r="Z175">
        <v>425</v>
      </c>
      <c r="AC175" s="1">
        <v>507.96138384757137</v>
      </c>
      <c r="AD175">
        <v>425</v>
      </c>
      <c r="AG175" s="1">
        <v>618.94086351975989</v>
      </c>
      <c r="AH175">
        <v>425</v>
      </c>
      <c r="AK175" s="1">
        <v>870.88256254516955</v>
      </c>
      <c r="AL175">
        <v>425</v>
      </c>
    </row>
    <row r="176" spans="1:39" x14ac:dyDescent="0.2">
      <c r="A176" s="1">
        <v>387.29875355562103</v>
      </c>
      <c r="B176">
        <v>450</v>
      </c>
      <c r="E176" s="1">
        <v>281.36602128470264</v>
      </c>
      <c r="F176">
        <v>450</v>
      </c>
      <c r="I176" s="1">
        <v>236.39474155630217</v>
      </c>
      <c r="J176">
        <v>450</v>
      </c>
      <c r="M176" s="1">
        <v>211.02451596352699</v>
      </c>
      <c r="N176">
        <v>450</v>
      </c>
      <c r="Q176" s="1">
        <v>184.19729864652945</v>
      </c>
      <c r="R176">
        <v>450</v>
      </c>
      <c r="U176" s="1">
        <v>172.30079577614816</v>
      </c>
      <c r="V176">
        <v>450</v>
      </c>
      <c r="Y176" s="1">
        <v>430.75198944037038</v>
      </c>
      <c r="Z176">
        <v>450</v>
      </c>
      <c r="AC176" s="1">
        <v>494.81904825525714</v>
      </c>
      <c r="AD176">
        <v>450</v>
      </c>
      <c r="AG176" s="1">
        <v>602.92718846722005</v>
      </c>
      <c r="AH176">
        <v>450</v>
      </c>
      <c r="AK176" s="1">
        <v>848.35047396046366</v>
      </c>
      <c r="AL176">
        <v>450</v>
      </c>
    </row>
    <row r="177" spans="1:38" x14ac:dyDescent="0.2">
      <c r="A177" s="1">
        <v>377.33875190888205</v>
      </c>
      <c r="B177">
        <v>475</v>
      </c>
      <c r="E177" s="1">
        <v>274.13024784209699</v>
      </c>
      <c r="F177">
        <v>475</v>
      </c>
      <c r="I177" s="1">
        <v>230.31547588977048</v>
      </c>
      <c r="J177">
        <v>475</v>
      </c>
      <c r="M177" s="1">
        <v>205.59768588157277</v>
      </c>
      <c r="N177">
        <v>475</v>
      </c>
      <c r="Q177" s="1">
        <v>179.46037300191637</v>
      </c>
      <c r="R177">
        <v>475</v>
      </c>
      <c r="U177" s="1">
        <v>167.86980756895679</v>
      </c>
      <c r="V177">
        <v>475</v>
      </c>
      <c r="Y177" s="1">
        <v>419.67451892239194</v>
      </c>
      <c r="Z177">
        <v>475</v>
      </c>
      <c r="AC177" s="1">
        <v>482.09399171888901</v>
      </c>
      <c r="AD177">
        <v>475</v>
      </c>
      <c r="AG177" s="1">
        <v>587.42195966163649</v>
      </c>
      <c r="AH177">
        <v>475</v>
      </c>
      <c r="AK177" s="1">
        <v>826.53379616306268</v>
      </c>
      <c r="AL177">
        <v>475</v>
      </c>
    </row>
    <row r="178" spans="1:38" x14ac:dyDescent="0.2">
      <c r="A178" s="1">
        <v>367.69058187693037</v>
      </c>
      <c r="B178">
        <v>500</v>
      </c>
      <c r="E178" s="1">
        <v>267.12101481553458</v>
      </c>
      <c r="F178">
        <v>500</v>
      </c>
      <c r="I178" s="1">
        <v>224.42654224292642</v>
      </c>
      <c r="J178">
        <v>500</v>
      </c>
      <c r="M178" s="1">
        <v>200.34076111165092</v>
      </c>
      <c r="N178">
        <v>500</v>
      </c>
      <c r="Q178" s="1">
        <v>174.87175287222965</v>
      </c>
      <c r="R178">
        <v>500</v>
      </c>
      <c r="U178" s="1">
        <v>163.57754646812131</v>
      </c>
      <c r="V178">
        <v>500</v>
      </c>
      <c r="Y178" s="1">
        <v>408.94386617030329</v>
      </c>
      <c r="Z178">
        <v>500</v>
      </c>
      <c r="AC178" s="1">
        <v>469.76733621383949</v>
      </c>
      <c r="AD178">
        <v>500</v>
      </c>
      <c r="AG178" s="1">
        <v>572.40217460471695</v>
      </c>
      <c r="AH178">
        <v>500</v>
      </c>
      <c r="AK178" s="1">
        <v>805.40016342008551</v>
      </c>
      <c r="AL178">
        <v>500</v>
      </c>
    </row>
    <row r="179" spans="1:38" x14ac:dyDescent="0.2">
      <c r="A179" s="1">
        <v>358.34042693208994</v>
      </c>
      <c r="B179">
        <v>525</v>
      </c>
      <c r="E179" s="1">
        <v>260.32828473036676</v>
      </c>
      <c r="F179">
        <v>525</v>
      </c>
      <c r="I179" s="1">
        <v>218.71950745026345</v>
      </c>
      <c r="J179">
        <v>525</v>
      </c>
      <c r="M179" s="1">
        <v>195.24621354777508</v>
      </c>
      <c r="N179">
        <v>525</v>
      </c>
      <c r="Q179" s="1">
        <v>170.42486718784608</v>
      </c>
      <c r="R179">
        <v>525</v>
      </c>
      <c r="U179" s="1">
        <v>159.41786580084303</v>
      </c>
      <c r="V179">
        <v>525</v>
      </c>
      <c r="Y179" s="1">
        <v>398.54466450210759</v>
      </c>
      <c r="Z179">
        <v>525</v>
      </c>
      <c r="AC179" s="1">
        <v>457.82142952457178</v>
      </c>
      <c r="AD179">
        <v>525</v>
      </c>
      <c r="AG179" s="1">
        <v>557.84632442221459</v>
      </c>
      <c r="AH179">
        <v>525</v>
      </c>
      <c r="AK179" s="1">
        <v>784.91931160675779</v>
      </c>
      <c r="AL179">
        <v>525</v>
      </c>
    </row>
    <row r="180" spans="1:38" x14ac:dyDescent="0.2">
      <c r="A180" s="1">
        <v>349.27534879318722</v>
      </c>
      <c r="B180">
        <v>550</v>
      </c>
      <c r="E180" s="1">
        <v>253.74265814323732</v>
      </c>
      <c r="F180">
        <v>550</v>
      </c>
      <c r="I180" s="1">
        <v>213.18647439978176</v>
      </c>
      <c r="J180">
        <v>550</v>
      </c>
      <c r="M180" s="1">
        <v>190.30699360742798</v>
      </c>
      <c r="N180">
        <v>550</v>
      </c>
      <c r="Q180" s="1">
        <v>166.11356256866972</v>
      </c>
      <c r="R180">
        <v>550</v>
      </c>
      <c r="U180" s="1">
        <v>155.38500960709956</v>
      </c>
      <c r="V180">
        <v>550</v>
      </c>
      <c r="Y180" s="1">
        <v>388.46252401774893</v>
      </c>
      <c r="Z180">
        <v>550</v>
      </c>
      <c r="AC180" s="1">
        <v>446.23974149725103</v>
      </c>
      <c r="AD180">
        <v>550</v>
      </c>
      <c r="AG180" s="1">
        <v>543.73426744979429</v>
      </c>
      <c r="AH180">
        <v>550</v>
      </c>
      <c r="AK180" s="1">
        <v>765.06290033503308</v>
      </c>
      <c r="AL180">
        <v>550</v>
      </c>
    </row>
    <row r="181" spans="1:38" x14ac:dyDescent="0.2">
      <c r="A181" s="1">
        <v>340.48321454843597</v>
      </c>
      <c r="B181">
        <v>575</v>
      </c>
      <c r="E181" s="1">
        <v>247.35532069808502</v>
      </c>
      <c r="F181">
        <v>575</v>
      </c>
      <c r="I181" s="1">
        <v>207.82003755113391</v>
      </c>
      <c r="J181">
        <v>575</v>
      </c>
      <c r="M181" s="1">
        <v>185.51649052356376</v>
      </c>
      <c r="N181">
        <v>575</v>
      </c>
      <c r="Q181" s="1">
        <v>161.93206866415025</v>
      </c>
      <c r="R181">
        <v>575</v>
      </c>
      <c r="U181" s="1">
        <v>151.47358021820068</v>
      </c>
      <c r="V181">
        <v>575</v>
      </c>
      <c r="Y181" s="1">
        <v>378.68395054550177</v>
      </c>
      <c r="Z181">
        <v>575</v>
      </c>
      <c r="AC181" s="1">
        <v>435.00677093078252</v>
      </c>
      <c r="AD181">
        <v>575</v>
      </c>
      <c r="AG181" s="1">
        <v>530.04711578161073</v>
      </c>
      <c r="AH181">
        <v>575</v>
      </c>
      <c r="AK181" s="1">
        <v>745.80435332143543</v>
      </c>
      <c r="AL181">
        <v>575</v>
      </c>
    </row>
    <row r="182" spans="1:38" x14ac:dyDescent="0.2">
      <c r="A182" s="1">
        <v>331.95263111037542</v>
      </c>
      <c r="B182">
        <v>600</v>
      </c>
      <c r="E182" s="1">
        <v>241.15799550876037</v>
      </c>
      <c r="F182">
        <v>600</v>
      </c>
      <c r="I182" s="1">
        <v>202.61324292902003</v>
      </c>
      <c r="J182">
        <v>600</v>
      </c>
      <c r="M182" s="1">
        <v>180.86849663157028</v>
      </c>
      <c r="N182">
        <v>600</v>
      </c>
      <c r="Q182" s="1">
        <v>157.87496698038785</v>
      </c>
      <c r="R182">
        <v>600</v>
      </c>
      <c r="U182" s="1">
        <v>147.67850909721506</v>
      </c>
      <c r="V182">
        <v>600</v>
      </c>
      <c r="Y182" s="1">
        <v>369.1962727430377</v>
      </c>
      <c r="Z182">
        <v>600</v>
      </c>
      <c r="AC182" s="1">
        <v>424.10796183539765</v>
      </c>
      <c r="AD182">
        <v>600</v>
      </c>
      <c r="AG182" s="1">
        <v>516.76713323305796</v>
      </c>
      <c r="AH182">
        <v>600</v>
      </c>
      <c r="AK182" s="1">
        <v>727.11871481524622</v>
      </c>
      <c r="AL182">
        <v>600</v>
      </c>
    </row>
    <row r="183" spans="1:38" x14ac:dyDescent="0.2">
      <c r="A183" s="1">
        <v>323.67288614312395</v>
      </c>
      <c r="B183">
        <v>625</v>
      </c>
      <c r="E183" s="1">
        <v>235.1429002436706</v>
      </c>
      <c r="F183">
        <v>625</v>
      </c>
      <c r="I183" s="1">
        <v>197.55955206707822</v>
      </c>
      <c r="J183">
        <v>625</v>
      </c>
      <c r="M183" s="1">
        <v>176.35717518275297</v>
      </c>
      <c r="N183">
        <v>625</v>
      </c>
      <c r="Q183" s="1">
        <v>153.93716278543869</v>
      </c>
      <c r="R183">
        <v>625</v>
      </c>
      <c r="U183" s="1">
        <v>143.99503055878981</v>
      </c>
      <c r="V183">
        <v>625</v>
      </c>
      <c r="Y183" s="1">
        <v>359.98757639697453</v>
      </c>
      <c r="Z183">
        <v>625</v>
      </c>
      <c r="AC183" s="1">
        <v>413.52962796037468</v>
      </c>
      <c r="AD183">
        <v>625</v>
      </c>
      <c r="AG183" s="1">
        <v>503.87764337929417</v>
      </c>
      <c r="AH183">
        <v>625</v>
      </c>
      <c r="AK183" s="1">
        <v>708.98252020384064</v>
      </c>
      <c r="AL183">
        <v>625</v>
      </c>
    </row>
    <row r="184" spans="1:38" x14ac:dyDescent="0.2">
      <c r="A184" s="1">
        <v>315.63389471676533</v>
      </c>
      <c r="B184">
        <v>650</v>
      </c>
      <c r="E184" s="1">
        <v>229.30270837108941</v>
      </c>
      <c r="F184">
        <v>650</v>
      </c>
      <c r="I184" s="1">
        <v>192.65280944743157</v>
      </c>
      <c r="J184">
        <v>650</v>
      </c>
      <c r="M184" s="1">
        <v>171.97703127831704</v>
      </c>
      <c r="N184">
        <v>650</v>
      </c>
      <c r="Q184" s="1">
        <v>150.11385973841448</v>
      </c>
      <c r="R184">
        <v>650</v>
      </c>
      <c r="U184" s="1">
        <v>140.41865803684647</v>
      </c>
      <c r="V184">
        <v>650</v>
      </c>
      <c r="Y184" s="1">
        <v>351.04664509211619</v>
      </c>
      <c r="Z184">
        <v>650</v>
      </c>
      <c r="AC184" s="1">
        <v>403.25888463883257</v>
      </c>
      <c r="AD184">
        <v>650</v>
      </c>
      <c r="AG184" s="1">
        <v>491.36294650947724</v>
      </c>
      <c r="AH184">
        <v>650</v>
      </c>
      <c r="AK184" s="1">
        <v>691.37367916289975</v>
      </c>
      <c r="AL184">
        <v>650</v>
      </c>
    </row>
    <row r="185" spans="1:38" x14ac:dyDescent="0.2">
      <c r="A185" s="1">
        <v>307.8261510412209</v>
      </c>
      <c r="B185">
        <v>675</v>
      </c>
      <c r="E185" s="1">
        <v>223.63051409462827</v>
      </c>
      <c r="F185">
        <v>675</v>
      </c>
      <c r="I185" s="1">
        <v>187.88721304059186</v>
      </c>
      <c r="J185">
        <v>675</v>
      </c>
      <c r="M185" s="1">
        <v>167.72288557097119</v>
      </c>
      <c r="N185">
        <v>675</v>
      </c>
      <c r="Q185" s="1">
        <v>146.40053693436042</v>
      </c>
      <c r="R185">
        <v>675</v>
      </c>
      <c r="U185" s="1">
        <v>136.94516261203023</v>
      </c>
      <c r="V185">
        <v>675</v>
      </c>
      <c r="Y185" s="1">
        <v>342.36290653007552</v>
      </c>
      <c r="Z185">
        <v>675</v>
      </c>
      <c r="AC185" s="1">
        <v>393.2835871221597</v>
      </c>
      <c r="AD185">
        <v>675</v>
      </c>
      <c r="AG185" s="1">
        <v>479.20824448848913</v>
      </c>
      <c r="AH185">
        <v>675</v>
      </c>
      <c r="AK185" s="1">
        <v>674.27136993287888</v>
      </c>
      <c r="AL185">
        <v>675</v>
      </c>
    </row>
    <row r="186" spans="1:38" x14ac:dyDescent="0.2">
      <c r="A186" s="1">
        <v>300.24068471525698</v>
      </c>
      <c r="B186">
        <v>700</v>
      </c>
      <c r="E186" s="1">
        <v>218.119800568877</v>
      </c>
      <c r="F186">
        <v>700</v>
      </c>
      <c r="I186" s="1">
        <v>183.25728760125588</v>
      </c>
      <c r="J186">
        <v>700</v>
      </c>
      <c r="M186" s="1">
        <v>163.58985042665776</v>
      </c>
      <c r="N186">
        <v>700</v>
      </c>
      <c r="Q186" s="1">
        <v>142.79292809650724</v>
      </c>
      <c r="R186">
        <v>700</v>
      </c>
      <c r="U186" s="1">
        <v>133.57055354784416</v>
      </c>
      <c r="V186">
        <v>700</v>
      </c>
      <c r="Y186" s="1">
        <v>333.92638386961039</v>
      </c>
      <c r="Z186">
        <v>700</v>
      </c>
      <c r="AC186" s="1">
        <v>383.59227468304869</v>
      </c>
      <c r="AD186">
        <v>700</v>
      </c>
      <c r="AG186" s="1">
        <v>467.39957264759357</v>
      </c>
      <c r="AH186">
        <v>700</v>
      </c>
      <c r="AK186" s="1">
        <v>657.6559434855576</v>
      </c>
      <c r="AL186">
        <v>700</v>
      </c>
    </row>
    <row r="187" spans="1:38" x14ac:dyDescent="0.2">
      <c r="A187" s="1">
        <v>292.86902099759794</v>
      </c>
      <c r="B187">
        <v>725</v>
      </c>
      <c r="E187" s="1">
        <v>212.76441103703684</v>
      </c>
      <c r="F187">
        <v>725</v>
      </c>
      <c r="I187" s="1">
        <v>178.75786041906719</v>
      </c>
      <c r="J187">
        <v>725</v>
      </c>
      <c r="M187" s="1">
        <v>159.57330827777761</v>
      </c>
      <c r="N187">
        <v>725</v>
      </c>
      <c r="Q187" s="1">
        <v>139.28700268141702</v>
      </c>
      <c r="R187">
        <v>725</v>
      </c>
      <c r="U187" s="1">
        <v>130.29106061613143</v>
      </c>
      <c r="V187">
        <v>725</v>
      </c>
      <c r="Y187" s="1">
        <v>325.72765154032857</v>
      </c>
      <c r="Z187">
        <v>725</v>
      </c>
      <c r="AC187" s="1">
        <v>374.1741198572393</v>
      </c>
      <c r="AD187">
        <v>725</v>
      </c>
      <c r="AG187" s="1">
        <v>455.92373793650745</v>
      </c>
      <c r="AH187">
        <v>725</v>
      </c>
      <c r="AK187" s="1">
        <v>641.50883650072944</v>
      </c>
      <c r="AL187">
        <v>725</v>
      </c>
    </row>
    <row r="188" spans="1:38" x14ac:dyDescent="0.2">
      <c r="A188" s="1">
        <v>285.70314466839716</v>
      </c>
      <c r="B188">
        <v>750</v>
      </c>
      <c r="E188" s="1">
        <v>207.55852257688741</v>
      </c>
      <c r="F188">
        <v>750</v>
      </c>
      <c r="I188" s="1">
        <v>174.38403926081611</v>
      </c>
      <c r="J188">
        <v>750</v>
      </c>
      <c r="M188" s="1">
        <v>155.66889193266556</v>
      </c>
      <c r="N188">
        <v>750</v>
      </c>
      <c r="Q188" s="1">
        <v>135.87894869168392</v>
      </c>
      <c r="R188">
        <v>750</v>
      </c>
      <c r="U188" s="1">
        <v>127.10311801982911</v>
      </c>
      <c r="V188">
        <v>750</v>
      </c>
      <c r="Y188" s="1">
        <v>317.75779504957279</v>
      </c>
      <c r="Z188">
        <v>750</v>
      </c>
      <c r="AC188" s="1">
        <v>365.01888227235821</v>
      </c>
      <c r="AD188">
        <v>750</v>
      </c>
      <c r="AG188" s="1">
        <v>444.76826266475877</v>
      </c>
      <c r="AH188">
        <v>750</v>
      </c>
      <c r="AK188" s="1">
        <v>625.81249220731434</v>
      </c>
      <c r="AL188">
        <v>750</v>
      </c>
    </row>
    <row r="189" spans="1:38" x14ac:dyDescent="0.2">
      <c r="A189" s="1">
        <v>278.73546710206705</v>
      </c>
      <c r="B189">
        <v>775</v>
      </c>
      <c r="E189" s="1">
        <v>202.49662217975271</v>
      </c>
      <c r="F189">
        <v>775</v>
      </c>
      <c r="I189" s="1">
        <v>170.13119227275138</v>
      </c>
      <c r="J189">
        <v>775</v>
      </c>
      <c r="M189" s="1">
        <v>151.87246663481451</v>
      </c>
      <c r="N189">
        <v>775</v>
      </c>
      <c r="Q189" s="1">
        <v>132.56515701594151</v>
      </c>
      <c r="R189">
        <v>775</v>
      </c>
      <c r="U189" s="1">
        <v>124.00334974438621</v>
      </c>
      <c r="V189">
        <v>775</v>
      </c>
      <c r="Y189" s="1">
        <v>310.00837436096555</v>
      </c>
      <c r="Z189">
        <v>775</v>
      </c>
      <c r="AC189" s="1">
        <v>356.11686657964361</v>
      </c>
      <c r="AD189">
        <v>775</v>
      </c>
      <c r="AG189" s="1">
        <v>433.92133324232725</v>
      </c>
      <c r="AH189">
        <v>775</v>
      </c>
      <c r="AK189" s="1">
        <v>610.55028825872637</v>
      </c>
      <c r="AL189">
        <v>775</v>
      </c>
    </row>
    <row r="190" spans="1:38" x14ac:dyDescent="0.2">
      <c r="A190" s="1">
        <v>271.95879621803886</v>
      </c>
      <c r="B190">
        <v>800</v>
      </c>
      <c r="E190" s="1">
        <v>197.57348492023382</v>
      </c>
      <c r="F190">
        <v>800</v>
      </c>
      <c r="I190" s="1">
        <v>165.99492963948705</v>
      </c>
      <c r="J190">
        <v>800</v>
      </c>
      <c r="M190" s="1">
        <v>148.18011369017538</v>
      </c>
      <c r="N190">
        <v>800</v>
      </c>
      <c r="Q190" s="1">
        <v>129.34220713759825</v>
      </c>
      <c r="R190">
        <v>800</v>
      </c>
      <c r="U190" s="1">
        <v>120.98855618950991</v>
      </c>
      <c r="V190">
        <v>800</v>
      </c>
      <c r="Y190" s="1">
        <v>302.47139047377482</v>
      </c>
      <c r="Z190">
        <v>800</v>
      </c>
      <c r="AC190" s="1">
        <v>347.4588840625571</v>
      </c>
      <c r="AD190">
        <v>800</v>
      </c>
      <c r="AG190" s="1">
        <v>423.37175340050101</v>
      </c>
      <c r="AH190">
        <v>800</v>
      </c>
      <c r="AK190" s="1">
        <v>595.70647091214198</v>
      </c>
      <c r="AL190">
        <v>800</v>
      </c>
    </row>
    <row r="191" spans="1:38" x14ac:dyDescent="0.2">
      <c r="A191" s="1"/>
      <c r="E191" s="1"/>
      <c r="I191" s="1"/>
      <c r="M191" s="1"/>
      <c r="Q191" s="1"/>
      <c r="U191" s="1"/>
      <c r="Y191" s="1"/>
      <c r="AC191" s="1"/>
      <c r="AG191" s="1"/>
      <c r="AK191" s="1"/>
    </row>
    <row r="193" spans="1:27" x14ac:dyDescent="0.2">
      <c r="A193" s="377" t="s">
        <v>18</v>
      </c>
      <c r="B193" s="377"/>
      <c r="C193" s="377"/>
      <c r="E193" s="377" t="s">
        <v>21</v>
      </c>
      <c r="F193" s="377"/>
      <c r="G193" s="377"/>
      <c r="I193" s="377" t="s">
        <v>22</v>
      </c>
      <c r="J193" s="377"/>
      <c r="K193" s="377"/>
      <c r="M193" s="377" t="s">
        <v>23</v>
      </c>
      <c r="N193" s="377"/>
      <c r="O193" s="377"/>
      <c r="Q193" s="377" t="s">
        <v>24</v>
      </c>
      <c r="R193" s="377"/>
      <c r="S193" s="377"/>
      <c r="U193" s="377" t="s">
        <v>25</v>
      </c>
      <c r="V193" s="377"/>
      <c r="W193" s="377"/>
      <c r="Y193" s="377" t="s">
        <v>26</v>
      </c>
      <c r="Z193" s="377"/>
      <c r="AA193" s="377"/>
    </row>
    <row r="194" spans="1:27" x14ac:dyDescent="0.2">
      <c r="A194" t="s">
        <v>19</v>
      </c>
      <c r="B194" t="s">
        <v>20</v>
      </c>
      <c r="E194" t="s">
        <v>19</v>
      </c>
      <c r="F194" t="s">
        <v>20</v>
      </c>
      <c r="I194" t="s">
        <v>19</v>
      </c>
      <c r="J194" t="s">
        <v>20</v>
      </c>
      <c r="M194" t="s">
        <v>19</v>
      </c>
      <c r="N194" t="s">
        <v>20</v>
      </c>
      <c r="Q194" t="s">
        <v>19</v>
      </c>
      <c r="R194" t="s">
        <v>20</v>
      </c>
      <c r="U194" t="s">
        <v>19</v>
      </c>
      <c r="V194" t="s">
        <v>20</v>
      </c>
      <c r="Y194" t="s">
        <v>19</v>
      </c>
      <c r="Z194" t="s">
        <v>20</v>
      </c>
    </row>
    <row r="195" spans="1:27" x14ac:dyDescent="0.2">
      <c r="A195">
        <v>135</v>
      </c>
      <c r="B195">
        <v>1300</v>
      </c>
      <c r="E195">
        <v>95</v>
      </c>
      <c r="F195">
        <v>1300</v>
      </c>
      <c r="I195">
        <v>55</v>
      </c>
      <c r="J195">
        <v>1300</v>
      </c>
      <c r="M195">
        <v>40</v>
      </c>
      <c r="N195">
        <v>1300</v>
      </c>
      <c r="Q195">
        <v>105</v>
      </c>
      <c r="R195">
        <v>800</v>
      </c>
      <c r="U195">
        <v>65</v>
      </c>
      <c r="V195">
        <v>1000</v>
      </c>
      <c r="Y195">
        <v>20</v>
      </c>
      <c r="Z195">
        <v>1300</v>
      </c>
    </row>
    <row r="196" spans="1:27" x14ac:dyDescent="0.2">
      <c r="A196">
        <v>160</v>
      </c>
      <c r="B196">
        <v>1250</v>
      </c>
      <c r="E196">
        <v>110</v>
      </c>
      <c r="F196">
        <v>1250</v>
      </c>
      <c r="I196">
        <v>65</v>
      </c>
      <c r="J196">
        <v>1250</v>
      </c>
      <c r="M196">
        <v>45</v>
      </c>
      <c r="N196">
        <v>1250</v>
      </c>
      <c r="Q196">
        <v>125</v>
      </c>
      <c r="R196">
        <v>750</v>
      </c>
      <c r="U196">
        <v>70</v>
      </c>
      <c r="V196">
        <v>950</v>
      </c>
      <c r="Y196">
        <v>25</v>
      </c>
      <c r="Z196">
        <v>1250</v>
      </c>
    </row>
    <row r="197" spans="1:27" x14ac:dyDescent="0.2">
      <c r="A197">
        <v>190</v>
      </c>
      <c r="B197">
        <v>1200</v>
      </c>
      <c r="E197">
        <v>125</v>
      </c>
      <c r="F197">
        <v>1200</v>
      </c>
      <c r="I197">
        <v>75</v>
      </c>
      <c r="J197">
        <v>1200</v>
      </c>
      <c r="M197">
        <v>55</v>
      </c>
      <c r="N197">
        <v>1200</v>
      </c>
      <c r="Q197">
        <v>135</v>
      </c>
      <c r="R197">
        <v>700</v>
      </c>
      <c r="U197">
        <v>75</v>
      </c>
      <c r="V197">
        <v>900</v>
      </c>
      <c r="Y197">
        <v>30</v>
      </c>
      <c r="Z197">
        <v>1200</v>
      </c>
    </row>
    <row r="198" spans="1:27" x14ac:dyDescent="0.2">
      <c r="A198">
        <v>215</v>
      </c>
      <c r="B198">
        <v>1150</v>
      </c>
      <c r="E198">
        <v>145</v>
      </c>
      <c r="F198">
        <v>1150</v>
      </c>
      <c r="I198">
        <v>85</v>
      </c>
      <c r="J198">
        <v>1150</v>
      </c>
      <c r="M198">
        <v>60</v>
      </c>
      <c r="N198">
        <v>1150</v>
      </c>
      <c r="Q198">
        <v>145</v>
      </c>
      <c r="R198">
        <v>650</v>
      </c>
      <c r="U198">
        <v>90</v>
      </c>
      <c r="V198">
        <v>850</v>
      </c>
      <c r="Y198">
        <v>35</v>
      </c>
      <c r="Z198">
        <v>1150</v>
      </c>
    </row>
    <row r="199" spans="1:27" x14ac:dyDescent="0.2">
      <c r="A199">
        <v>240</v>
      </c>
      <c r="B199">
        <v>1100</v>
      </c>
      <c r="E199">
        <v>165</v>
      </c>
      <c r="F199">
        <v>1100</v>
      </c>
      <c r="I199">
        <v>100</v>
      </c>
      <c r="J199">
        <v>1100</v>
      </c>
      <c r="M199">
        <v>70</v>
      </c>
      <c r="N199">
        <v>1100</v>
      </c>
      <c r="Q199">
        <v>150</v>
      </c>
      <c r="R199">
        <v>600</v>
      </c>
      <c r="U199">
        <v>100</v>
      </c>
      <c r="V199">
        <v>800</v>
      </c>
      <c r="Y199">
        <v>40</v>
      </c>
      <c r="Z199">
        <v>1100</v>
      </c>
    </row>
    <row r="200" spans="1:27" x14ac:dyDescent="0.2">
      <c r="A200">
        <v>260</v>
      </c>
      <c r="B200">
        <v>1050</v>
      </c>
      <c r="E200">
        <v>185</v>
      </c>
      <c r="F200">
        <v>1050</v>
      </c>
      <c r="I200">
        <v>115</v>
      </c>
      <c r="J200">
        <v>1050</v>
      </c>
      <c r="M200">
        <v>80</v>
      </c>
      <c r="N200">
        <v>1050</v>
      </c>
      <c r="Q200">
        <v>170</v>
      </c>
      <c r="R200">
        <v>550</v>
      </c>
      <c r="U200">
        <v>105</v>
      </c>
      <c r="V200">
        <v>750</v>
      </c>
      <c r="Y200">
        <v>45</v>
      </c>
      <c r="Z200">
        <v>1050</v>
      </c>
    </row>
    <row r="201" spans="1:27" x14ac:dyDescent="0.2">
      <c r="A201">
        <v>285</v>
      </c>
      <c r="B201">
        <v>1000</v>
      </c>
      <c r="E201">
        <v>205</v>
      </c>
      <c r="F201">
        <v>1000</v>
      </c>
      <c r="I201">
        <v>125</v>
      </c>
      <c r="J201">
        <v>1000</v>
      </c>
      <c r="M201">
        <v>90</v>
      </c>
      <c r="N201">
        <v>1000</v>
      </c>
      <c r="Q201">
        <v>185</v>
      </c>
      <c r="R201">
        <v>500</v>
      </c>
      <c r="U201">
        <v>115</v>
      </c>
      <c r="V201">
        <v>700</v>
      </c>
      <c r="Y201">
        <v>50</v>
      </c>
      <c r="Z201">
        <v>1000</v>
      </c>
    </row>
    <row r="202" spans="1:27" x14ac:dyDescent="0.2">
      <c r="A202">
        <v>310</v>
      </c>
      <c r="B202">
        <v>950</v>
      </c>
      <c r="E202">
        <v>225</v>
      </c>
      <c r="F202">
        <v>950</v>
      </c>
      <c r="I202">
        <v>135</v>
      </c>
      <c r="J202">
        <v>950</v>
      </c>
      <c r="M202">
        <v>100</v>
      </c>
      <c r="N202">
        <v>950</v>
      </c>
      <c r="Q202">
        <v>205</v>
      </c>
      <c r="R202">
        <v>450</v>
      </c>
      <c r="U202">
        <v>130</v>
      </c>
      <c r="V202">
        <v>650</v>
      </c>
      <c r="Y202">
        <v>55</v>
      </c>
      <c r="Z202">
        <v>950</v>
      </c>
    </row>
    <row r="203" spans="1:27" x14ac:dyDescent="0.2">
      <c r="A203">
        <v>340</v>
      </c>
      <c r="B203">
        <v>900</v>
      </c>
      <c r="E203">
        <v>240</v>
      </c>
      <c r="F203">
        <v>900</v>
      </c>
      <c r="I203">
        <v>150</v>
      </c>
      <c r="J203">
        <v>900</v>
      </c>
      <c r="M203">
        <v>105</v>
      </c>
      <c r="N203">
        <v>900</v>
      </c>
      <c r="Q203">
        <v>220</v>
      </c>
      <c r="R203">
        <v>400</v>
      </c>
      <c r="U203">
        <v>135</v>
      </c>
      <c r="V203">
        <v>600</v>
      </c>
      <c r="Y203">
        <v>60</v>
      </c>
      <c r="Z203">
        <v>900</v>
      </c>
    </row>
    <row r="204" spans="1:27" x14ac:dyDescent="0.2">
      <c r="A204">
        <v>380</v>
      </c>
      <c r="B204">
        <v>850</v>
      </c>
      <c r="E204">
        <v>270</v>
      </c>
      <c r="F204">
        <v>850</v>
      </c>
      <c r="I204">
        <v>175</v>
      </c>
      <c r="J204">
        <v>850</v>
      </c>
      <c r="M204">
        <v>125</v>
      </c>
      <c r="N204">
        <v>850</v>
      </c>
      <c r="Q204">
        <v>240</v>
      </c>
      <c r="R204">
        <v>350</v>
      </c>
      <c r="U204">
        <v>150</v>
      </c>
      <c r="V204">
        <v>550</v>
      </c>
      <c r="Y204">
        <v>70</v>
      </c>
      <c r="Z204">
        <v>850</v>
      </c>
    </row>
    <row r="205" spans="1:27" x14ac:dyDescent="0.2">
      <c r="A205">
        <v>415</v>
      </c>
      <c r="B205">
        <v>800</v>
      </c>
      <c r="E205">
        <v>290</v>
      </c>
      <c r="F205">
        <v>800</v>
      </c>
      <c r="I205">
        <v>190</v>
      </c>
      <c r="J205">
        <v>800</v>
      </c>
      <c r="M205">
        <v>135</v>
      </c>
      <c r="N205">
        <v>800</v>
      </c>
      <c r="Q205">
        <v>260</v>
      </c>
      <c r="R205">
        <v>300</v>
      </c>
      <c r="U205">
        <v>160</v>
      </c>
      <c r="V205">
        <v>500</v>
      </c>
      <c r="Y205">
        <v>75</v>
      </c>
      <c r="Z205">
        <v>800</v>
      </c>
    </row>
    <row r="206" spans="1:27" x14ac:dyDescent="0.2">
      <c r="A206">
        <v>445</v>
      </c>
      <c r="B206">
        <v>750</v>
      </c>
      <c r="E206">
        <v>315</v>
      </c>
      <c r="F206">
        <v>750</v>
      </c>
      <c r="I206">
        <v>200</v>
      </c>
      <c r="J206">
        <v>750</v>
      </c>
      <c r="M206">
        <v>145</v>
      </c>
      <c r="N206">
        <v>750</v>
      </c>
      <c r="Q206">
        <v>285</v>
      </c>
      <c r="R206">
        <v>250</v>
      </c>
      <c r="U206">
        <v>175</v>
      </c>
      <c r="V206">
        <v>450</v>
      </c>
      <c r="Y206">
        <v>80</v>
      </c>
      <c r="Z206">
        <v>750</v>
      </c>
    </row>
    <row r="207" spans="1:27" x14ac:dyDescent="0.2">
      <c r="A207">
        <v>485</v>
      </c>
      <c r="B207">
        <v>700</v>
      </c>
      <c r="E207">
        <v>340</v>
      </c>
      <c r="F207">
        <v>700</v>
      </c>
      <c r="I207">
        <v>220</v>
      </c>
      <c r="J207">
        <v>700</v>
      </c>
      <c r="M207">
        <v>160</v>
      </c>
      <c r="N207">
        <v>700</v>
      </c>
      <c r="Q207">
        <v>315</v>
      </c>
      <c r="R207">
        <v>200</v>
      </c>
      <c r="U207">
        <v>200</v>
      </c>
      <c r="V207">
        <v>400</v>
      </c>
      <c r="Y207">
        <v>90</v>
      </c>
      <c r="Z207">
        <v>700</v>
      </c>
    </row>
    <row r="208" spans="1:27" x14ac:dyDescent="0.2">
      <c r="A208">
        <v>525</v>
      </c>
      <c r="B208">
        <v>650</v>
      </c>
      <c r="E208">
        <v>370</v>
      </c>
      <c r="F208">
        <v>650</v>
      </c>
      <c r="I208">
        <v>235</v>
      </c>
      <c r="J208">
        <v>650</v>
      </c>
      <c r="M208">
        <v>175</v>
      </c>
      <c r="N208">
        <v>650</v>
      </c>
      <c r="Q208">
        <v>340</v>
      </c>
      <c r="R208">
        <v>150</v>
      </c>
      <c r="U208">
        <v>215</v>
      </c>
      <c r="V208">
        <v>350</v>
      </c>
      <c r="Y208">
        <v>100</v>
      </c>
      <c r="Z208">
        <v>650</v>
      </c>
    </row>
    <row r="209" spans="1:27" x14ac:dyDescent="0.2">
      <c r="A209">
        <v>570</v>
      </c>
      <c r="B209">
        <v>600</v>
      </c>
      <c r="E209">
        <v>400</v>
      </c>
      <c r="F209">
        <v>600</v>
      </c>
      <c r="I209">
        <v>255</v>
      </c>
      <c r="J209">
        <v>600</v>
      </c>
      <c r="M209">
        <v>185</v>
      </c>
      <c r="N209">
        <v>600</v>
      </c>
      <c r="Q209">
        <v>385</v>
      </c>
      <c r="R209">
        <v>100</v>
      </c>
      <c r="U209">
        <v>235</v>
      </c>
      <c r="V209">
        <v>300</v>
      </c>
      <c r="Y209">
        <v>110</v>
      </c>
      <c r="Z209">
        <v>600</v>
      </c>
    </row>
    <row r="210" spans="1:27" x14ac:dyDescent="0.2">
      <c r="A210">
        <v>615</v>
      </c>
      <c r="B210">
        <v>550</v>
      </c>
      <c r="E210">
        <v>435</v>
      </c>
      <c r="F210">
        <v>550</v>
      </c>
      <c r="I210">
        <v>275</v>
      </c>
      <c r="J210">
        <v>550</v>
      </c>
      <c r="M210">
        <v>200</v>
      </c>
      <c r="N210">
        <v>550</v>
      </c>
      <c r="U210">
        <v>255</v>
      </c>
      <c r="V210">
        <v>250</v>
      </c>
      <c r="Y210">
        <v>115</v>
      </c>
      <c r="Z210">
        <v>550</v>
      </c>
    </row>
    <row r="211" spans="1:27" x14ac:dyDescent="0.2">
      <c r="A211">
        <v>670</v>
      </c>
      <c r="B211">
        <v>500</v>
      </c>
      <c r="E211">
        <v>475</v>
      </c>
      <c r="F211">
        <v>500</v>
      </c>
      <c r="I211">
        <v>300</v>
      </c>
      <c r="J211">
        <v>500</v>
      </c>
      <c r="M211">
        <v>220</v>
      </c>
      <c r="N211">
        <v>500</v>
      </c>
      <c r="U211">
        <v>280</v>
      </c>
      <c r="V211">
        <v>200</v>
      </c>
      <c r="Y211">
        <v>125</v>
      </c>
      <c r="Z211">
        <v>500</v>
      </c>
    </row>
    <row r="212" spans="1:27" x14ac:dyDescent="0.2">
      <c r="A212">
        <v>725</v>
      </c>
      <c r="B212">
        <v>450</v>
      </c>
      <c r="E212">
        <v>510</v>
      </c>
      <c r="F212">
        <v>450</v>
      </c>
      <c r="I212">
        <v>330</v>
      </c>
      <c r="J212">
        <v>450</v>
      </c>
      <c r="M212">
        <v>235</v>
      </c>
      <c r="N212">
        <v>450</v>
      </c>
      <c r="U212">
        <v>305</v>
      </c>
      <c r="V212">
        <v>150</v>
      </c>
      <c r="Y212">
        <v>140</v>
      </c>
      <c r="Z212">
        <v>450</v>
      </c>
    </row>
    <row r="213" spans="1:27" x14ac:dyDescent="0.2">
      <c r="A213">
        <v>790</v>
      </c>
      <c r="B213">
        <v>400</v>
      </c>
      <c r="E213">
        <v>565</v>
      </c>
      <c r="F213">
        <v>400</v>
      </c>
      <c r="I213">
        <v>355</v>
      </c>
      <c r="J213">
        <v>400</v>
      </c>
      <c r="M213">
        <v>255</v>
      </c>
      <c r="N213">
        <v>400</v>
      </c>
      <c r="U213">
        <v>340</v>
      </c>
      <c r="V213">
        <v>100</v>
      </c>
      <c r="Y213">
        <v>150</v>
      </c>
      <c r="Z213">
        <v>400</v>
      </c>
    </row>
    <row r="214" spans="1:27" x14ac:dyDescent="0.2">
      <c r="A214">
        <v>865</v>
      </c>
      <c r="B214">
        <v>350</v>
      </c>
      <c r="E214">
        <v>610</v>
      </c>
      <c r="F214">
        <v>350</v>
      </c>
      <c r="I214">
        <v>400</v>
      </c>
      <c r="J214">
        <v>350</v>
      </c>
      <c r="M214">
        <v>280</v>
      </c>
      <c r="N214">
        <v>350</v>
      </c>
      <c r="Y214">
        <v>165</v>
      </c>
      <c r="Z214">
        <v>350</v>
      </c>
    </row>
    <row r="215" spans="1:27" x14ac:dyDescent="0.2">
      <c r="A215">
        <v>945</v>
      </c>
      <c r="B215">
        <v>300</v>
      </c>
      <c r="E215">
        <v>675</v>
      </c>
      <c r="F215">
        <v>300</v>
      </c>
      <c r="I215">
        <v>430</v>
      </c>
      <c r="J215">
        <v>300</v>
      </c>
      <c r="M215">
        <v>310</v>
      </c>
      <c r="N215">
        <v>300</v>
      </c>
      <c r="Y215">
        <v>190</v>
      </c>
      <c r="Z215">
        <v>300</v>
      </c>
    </row>
    <row r="216" spans="1:27" x14ac:dyDescent="0.2">
      <c r="A216">
        <v>1030</v>
      </c>
      <c r="B216">
        <v>250</v>
      </c>
      <c r="E216">
        <v>735</v>
      </c>
      <c r="F216">
        <v>250</v>
      </c>
      <c r="I216">
        <v>475</v>
      </c>
      <c r="J216">
        <v>250</v>
      </c>
      <c r="M216">
        <v>340</v>
      </c>
      <c r="N216">
        <v>250</v>
      </c>
      <c r="Y216">
        <v>205</v>
      </c>
      <c r="Z216">
        <v>250</v>
      </c>
    </row>
    <row r="217" spans="1:27" x14ac:dyDescent="0.2">
      <c r="A217">
        <v>1135</v>
      </c>
      <c r="B217">
        <v>200</v>
      </c>
      <c r="E217">
        <v>800</v>
      </c>
      <c r="F217">
        <v>200</v>
      </c>
      <c r="I217">
        <v>515</v>
      </c>
      <c r="J217">
        <v>200</v>
      </c>
      <c r="M217">
        <v>375</v>
      </c>
      <c r="N217">
        <v>200</v>
      </c>
      <c r="Y217">
        <v>225</v>
      </c>
      <c r="Z217">
        <v>200</v>
      </c>
    </row>
    <row r="218" spans="1:27" x14ac:dyDescent="0.2">
      <c r="A218">
        <v>1250</v>
      </c>
      <c r="B218">
        <v>150</v>
      </c>
      <c r="E218">
        <v>885</v>
      </c>
      <c r="F218">
        <v>150</v>
      </c>
      <c r="I218">
        <v>575</v>
      </c>
      <c r="J218">
        <v>150</v>
      </c>
      <c r="M218">
        <v>415</v>
      </c>
      <c r="N218">
        <v>150</v>
      </c>
      <c r="Y218">
        <v>245</v>
      </c>
      <c r="Z218">
        <v>150</v>
      </c>
    </row>
    <row r="219" spans="1:27" x14ac:dyDescent="0.2">
      <c r="A219">
        <v>1400</v>
      </c>
      <c r="B219">
        <v>100</v>
      </c>
      <c r="E219">
        <v>985</v>
      </c>
      <c r="F219">
        <v>100</v>
      </c>
      <c r="I219">
        <v>625</v>
      </c>
      <c r="J219">
        <v>100</v>
      </c>
      <c r="M219">
        <v>450</v>
      </c>
      <c r="N219">
        <v>100</v>
      </c>
      <c r="Y219">
        <v>270</v>
      </c>
      <c r="Z219">
        <v>100</v>
      </c>
    </row>
    <row r="222" spans="1:27" x14ac:dyDescent="0.2">
      <c r="A222" s="377" t="s">
        <v>27</v>
      </c>
      <c r="B222" s="377"/>
      <c r="C222" s="377"/>
      <c r="E222" s="377" t="s">
        <v>28</v>
      </c>
      <c r="F222" s="377"/>
      <c r="G222" s="377"/>
      <c r="I222" s="377" t="s">
        <v>29</v>
      </c>
      <c r="J222" s="377"/>
      <c r="K222" s="377"/>
      <c r="M222" s="377" t="s">
        <v>30</v>
      </c>
      <c r="N222" s="377"/>
      <c r="O222" s="377"/>
      <c r="Q222" s="377" t="s">
        <v>31</v>
      </c>
      <c r="R222" s="377"/>
      <c r="S222" s="377"/>
      <c r="U222" s="377" t="s">
        <v>32</v>
      </c>
      <c r="V222" s="377"/>
      <c r="W222" s="377"/>
      <c r="Y222" s="377" t="s">
        <v>33</v>
      </c>
      <c r="Z222" s="377"/>
      <c r="AA222" s="377"/>
    </row>
    <row r="223" spans="1:27" x14ac:dyDescent="0.2">
      <c r="A223" t="s">
        <v>19</v>
      </c>
      <c r="B223" t="s">
        <v>20</v>
      </c>
      <c r="E223" t="s">
        <v>19</v>
      </c>
      <c r="F223" t="s">
        <v>20</v>
      </c>
      <c r="I223" t="s">
        <v>19</v>
      </c>
      <c r="J223" t="s">
        <v>20</v>
      </c>
      <c r="M223" t="s">
        <v>19</v>
      </c>
      <c r="N223" t="s">
        <v>20</v>
      </c>
      <c r="Q223" t="s">
        <v>19</v>
      </c>
      <c r="R223" t="s">
        <v>20</v>
      </c>
      <c r="U223" t="s">
        <v>19</v>
      </c>
      <c r="V223" t="s">
        <v>20</v>
      </c>
      <c r="Y223" t="s">
        <v>19</v>
      </c>
      <c r="Z223" t="s">
        <v>20</v>
      </c>
    </row>
    <row r="224" spans="1:27" x14ac:dyDescent="0.2">
      <c r="A224">
        <v>110</v>
      </c>
      <c r="B224">
        <v>1300</v>
      </c>
      <c r="E224">
        <v>85</v>
      </c>
      <c r="F224">
        <v>1300</v>
      </c>
      <c r="I224">
        <v>50</v>
      </c>
      <c r="J224">
        <v>1300</v>
      </c>
      <c r="M224">
        <v>35</v>
      </c>
      <c r="N224">
        <v>1300</v>
      </c>
      <c r="Q224">
        <v>90</v>
      </c>
      <c r="R224">
        <v>800</v>
      </c>
      <c r="U224">
        <v>55</v>
      </c>
      <c r="V224">
        <v>1000</v>
      </c>
      <c r="Y224">
        <v>15</v>
      </c>
      <c r="Z224">
        <v>1300</v>
      </c>
    </row>
    <row r="225" spans="1:26" x14ac:dyDescent="0.2">
      <c r="A225">
        <v>130</v>
      </c>
      <c r="B225">
        <v>1250</v>
      </c>
      <c r="E225">
        <v>95</v>
      </c>
      <c r="F225">
        <v>1250</v>
      </c>
      <c r="I225">
        <v>55</v>
      </c>
      <c r="J225">
        <v>1250</v>
      </c>
      <c r="M225">
        <v>45</v>
      </c>
      <c r="N225">
        <v>1250</v>
      </c>
      <c r="Q225">
        <v>100</v>
      </c>
      <c r="R225">
        <v>750</v>
      </c>
      <c r="U225">
        <v>60</v>
      </c>
      <c r="V225">
        <v>950</v>
      </c>
      <c r="Y225">
        <v>20</v>
      </c>
      <c r="Z225">
        <v>1250</v>
      </c>
    </row>
    <row r="226" spans="1:26" x14ac:dyDescent="0.2">
      <c r="A226">
        <v>150</v>
      </c>
      <c r="B226">
        <v>1200</v>
      </c>
      <c r="E226">
        <v>110</v>
      </c>
      <c r="F226">
        <v>1200</v>
      </c>
      <c r="I226">
        <v>65</v>
      </c>
      <c r="J226">
        <v>1200</v>
      </c>
      <c r="M226">
        <v>50</v>
      </c>
      <c r="N226">
        <v>1200</v>
      </c>
      <c r="Q226">
        <v>105</v>
      </c>
      <c r="R226">
        <v>700</v>
      </c>
      <c r="U226">
        <v>65</v>
      </c>
      <c r="V226">
        <v>900</v>
      </c>
      <c r="Y226">
        <v>25</v>
      </c>
      <c r="Z226">
        <v>1200</v>
      </c>
    </row>
    <row r="227" spans="1:26" x14ac:dyDescent="0.2">
      <c r="A227">
        <v>170</v>
      </c>
      <c r="B227">
        <v>1150</v>
      </c>
      <c r="E227">
        <v>125</v>
      </c>
      <c r="F227">
        <v>1150</v>
      </c>
      <c r="I227">
        <v>75</v>
      </c>
      <c r="J227">
        <v>1150</v>
      </c>
      <c r="M227">
        <v>55</v>
      </c>
      <c r="N227">
        <v>1150</v>
      </c>
      <c r="Q227">
        <v>115</v>
      </c>
      <c r="R227">
        <v>650</v>
      </c>
      <c r="U227">
        <v>70</v>
      </c>
      <c r="V227">
        <v>850</v>
      </c>
      <c r="Y227">
        <v>30</v>
      </c>
      <c r="Z227">
        <v>1150</v>
      </c>
    </row>
    <row r="228" spans="1:26" x14ac:dyDescent="0.2">
      <c r="A228">
        <v>190</v>
      </c>
      <c r="B228">
        <v>1100</v>
      </c>
      <c r="E228">
        <v>130</v>
      </c>
      <c r="F228">
        <v>1100</v>
      </c>
      <c r="I228">
        <v>85</v>
      </c>
      <c r="J228">
        <v>1100</v>
      </c>
      <c r="M228">
        <v>65</v>
      </c>
      <c r="N228">
        <v>1100</v>
      </c>
      <c r="Q228">
        <v>125</v>
      </c>
      <c r="R228">
        <v>600</v>
      </c>
      <c r="U228">
        <v>80</v>
      </c>
      <c r="V228">
        <v>800</v>
      </c>
      <c r="Y228">
        <v>35</v>
      </c>
      <c r="Z228">
        <v>1100</v>
      </c>
    </row>
    <row r="229" spans="1:26" x14ac:dyDescent="0.2">
      <c r="A229">
        <v>210</v>
      </c>
      <c r="B229">
        <v>1050</v>
      </c>
      <c r="E229">
        <v>145</v>
      </c>
      <c r="F229">
        <v>1050</v>
      </c>
      <c r="I229">
        <v>95</v>
      </c>
      <c r="J229">
        <v>1050</v>
      </c>
      <c r="M229">
        <v>70</v>
      </c>
      <c r="N229">
        <v>1050</v>
      </c>
      <c r="Q229">
        <v>135</v>
      </c>
      <c r="R229">
        <v>550</v>
      </c>
      <c r="U229">
        <v>90</v>
      </c>
      <c r="V229">
        <v>750</v>
      </c>
      <c r="Y229">
        <v>40</v>
      </c>
      <c r="Z229">
        <v>1050</v>
      </c>
    </row>
    <row r="230" spans="1:26" x14ac:dyDescent="0.2">
      <c r="A230">
        <v>225</v>
      </c>
      <c r="B230">
        <v>1000</v>
      </c>
      <c r="E230">
        <v>160</v>
      </c>
      <c r="F230">
        <v>1000</v>
      </c>
      <c r="I230">
        <v>100</v>
      </c>
      <c r="J230">
        <v>1000</v>
      </c>
      <c r="M230">
        <v>75</v>
      </c>
      <c r="N230">
        <v>1000</v>
      </c>
      <c r="Q230">
        <v>150</v>
      </c>
      <c r="R230">
        <v>500</v>
      </c>
      <c r="U230">
        <v>95</v>
      </c>
      <c r="V230">
        <v>700</v>
      </c>
      <c r="Y230">
        <v>45</v>
      </c>
      <c r="Z230">
        <v>1000</v>
      </c>
    </row>
    <row r="231" spans="1:26" x14ac:dyDescent="0.2">
      <c r="A231">
        <v>245</v>
      </c>
      <c r="B231">
        <v>950</v>
      </c>
      <c r="E231">
        <v>175</v>
      </c>
      <c r="F231">
        <v>950</v>
      </c>
      <c r="I231">
        <v>110</v>
      </c>
      <c r="J231">
        <v>950</v>
      </c>
      <c r="M231">
        <v>80</v>
      </c>
      <c r="N231">
        <v>950</v>
      </c>
      <c r="Q231">
        <v>155</v>
      </c>
      <c r="R231">
        <v>450</v>
      </c>
      <c r="U231">
        <v>100</v>
      </c>
      <c r="V231">
        <v>650</v>
      </c>
      <c r="Y231">
        <v>50</v>
      </c>
      <c r="Z231">
        <v>950</v>
      </c>
    </row>
    <row r="232" spans="1:26" x14ac:dyDescent="0.2">
      <c r="A232">
        <v>275</v>
      </c>
      <c r="B232">
        <v>900</v>
      </c>
      <c r="E232">
        <v>195</v>
      </c>
      <c r="F232">
        <v>900</v>
      </c>
      <c r="I232">
        <v>125</v>
      </c>
      <c r="J232">
        <v>900</v>
      </c>
      <c r="M232">
        <v>90</v>
      </c>
      <c r="N232">
        <v>900</v>
      </c>
      <c r="Q232">
        <v>170</v>
      </c>
      <c r="R232">
        <v>400</v>
      </c>
      <c r="U232">
        <v>110</v>
      </c>
      <c r="V232">
        <v>600</v>
      </c>
      <c r="Y232">
        <v>55</v>
      </c>
      <c r="Z232">
        <v>900</v>
      </c>
    </row>
    <row r="233" spans="1:26" x14ac:dyDescent="0.2">
      <c r="A233">
        <v>300</v>
      </c>
      <c r="B233">
        <v>850</v>
      </c>
      <c r="E233">
        <v>215</v>
      </c>
      <c r="F233">
        <v>850</v>
      </c>
      <c r="I233">
        <v>135</v>
      </c>
      <c r="J233">
        <v>850</v>
      </c>
      <c r="M233">
        <v>100</v>
      </c>
      <c r="N233">
        <v>850</v>
      </c>
      <c r="Q233">
        <v>185</v>
      </c>
      <c r="R233">
        <v>350</v>
      </c>
      <c r="U233">
        <v>120</v>
      </c>
      <c r="V233">
        <v>550</v>
      </c>
      <c r="Y233">
        <v>60</v>
      </c>
      <c r="Z233">
        <v>850</v>
      </c>
    </row>
    <row r="234" spans="1:26" x14ac:dyDescent="0.2">
      <c r="A234">
        <v>325</v>
      </c>
      <c r="B234">
        <v>800</v>
      </c>
      <c r="E234">
        <v>235</v>
      </c>
      <c r="F234">
        <v>800</v>
      </c>
      <c r="I234">
        <v>145</v>
      </c>
      <c r="J234">
        <v>800</v>
      </c>
      <c r="M234">
        <v>105</v>
      </c>
      <c r="N234">
        <v>800</v>
      </c>
      <c r="Q234">
        <v>205</v>
      </c>
      <c r="R234">
        <v>300</v>
      </c>
      <c r="U234">
        <v>130</v>
      </c>
      <c r="V234">
        <v>500</v>
      </c>
      <c r="Y234">
        <v>65</v>
      </c>
      <c r="Z234">
        <v>800</v>
      </c>
    </row>
    <row r="235" spans="1:26" x14ac:dyDescent="0.2">
      <c r="A235">
        <v>350</v>
      </c>
      <c r="B235">
        <v>750</v>
      </c>
      <c r="E235">
        <v>250</v>
      </c>
      <c r="F235">
        <v>750</v>
      </c>
      <c r="I235">
        <v>160</v>
      </c>
      <c r="J235">
        <v>750</v>
      </c>
      <c r="M235">
        <v>115</v>
      </c>
      <c r="N235">
        <v>750</v>
      </c>
      <c r="Q235">
        <v>225</v>
      </c>
      <c r="R235">
        <v>250</v>
      </c>
      <c r="U235">
        <v>140</v>
      </c>
      <c r="V235">
        <v>450</v>
      </c>
      <c r="Y235">
        <v>70</v>
      </c>
      <c r="Z235">
        <v>750</v>
      </c>
    </row>
    <row r="236" spans="1:26" x14ac:dyDescent="0.2">
      <c r="A236">
        <v>385</v>
      </c>
      <c r="B236">
        <v>700</v>
      </c>
      <c r="E236">
        <v>275</v>
      </c>
      <c r="F236">
        <v>700</v>
      </c>
      <c r="I236">
        <v>175</v>
      </c>
      <c r="J236">
        <v>700</v>
      </c>
      <c r="M236">
        <v>125</v>
      </c>
      <c r="N236">
        <v>700</v>
      </c>
      <c r="Q236">
        <v>245</v>
      </c>
      <c r="R236">
        <v>200</v>
      </c>
      <c r="U236">
        <v>150</v>
      </c>
      <c r="V236">
        <v>400</v>
      </c>
      <c r="Y236">
        <v>75</v>
      </c>
      <c r="Z236">
        <v>700</v>
      </c>
    </row>
    <row r="237" spans="1:26" x14ac:dyDescent="0.2">
      <c r="A237">
        <v>415</v>
      </c>
      <c r="B237">
        <v>650</v>
      </c>
      <c r="E237">
        <v>290</v>
      </c>
      <c r="F237">
        <v>650</v>
      </c>
      <c r="I237">
        <v>190</v>
      </c>
      <c r="J237">
        <v>650</v>
      </c>
      <c r="M237">
        <v>135</v>
      </c>
      <c r="N237">
        <v>650</v>
      </c>
      <c r="Q237">
        <v>275</v>
      </c>
      <c r="R237">
        <v>150</v>
      </c>
      <c r="U237">
        <v>165</v>
      </c>
      <c r="V237">
        <v>350</v>
      </c>
      <c r="Y237">
        <v>85</v>
      </c>
      <c r="Z237">
        <v>650</v>
      </c>
    </row>
    <row r="238" spans="1:26" x14ac:dyDescent="0.2">
      <c r="A238">
        <v>440</v>
      </c>
      <c r="B238">
        <v>600</v>
      </c>
      <c r="E238">
        <v>315</v>
      </c>
      <c r="F238">
        <v>600</v>
      </c>
      <c r="I238">
        <v>205</v>
      </c>
      <c r="J238">
        <v>600</v>
      </c>
      <c r="M238">
        <v>145</v>
      </c>
      <c r="N238">
        <v>600</v>
      </c>
      <c r="Q238">
        <v>300</v>
      </c>
      <c r="R238">
        <v>100</v>
      </c>
      <c r="U238">
        <v>185</v>
      </c>
      <c r="V238">
        <v>300</v>
      </c>
      <c r="Y238">
        <v>90</v>
      </c>
      <c r="Z238">
        <v>600</v>
      </c>
    </row>
    <row r="239" spans="1:26" x14ac:dyDescent="0.2">
      <c r="A239">
        <v>475</v>
      </c>
      <c r="B239">
        <v>550</v>
      </c>
      <c r="E239">
        <v>340</v>
      </c>
      <c r="F239">
        <v>550</v>
      </c>
      <c r="I239">
        <v>220</v>
      </c>
      <c r="J239">
        <v>550</v>
      </c>
      <c r="M239">
        <v>160</v>
      </c>
      <c r="N239">
        <v>550</v>
      </c>
      <c r="U239">
        <v>200</v>
      </c>
      <c r="V239">
        <v>250</v>
      </c>
      <c r="Y239">
        <v>100</v>
      </c>
      <c r="Z239">
        <v>550</v>
      </c>
    </row>
    <row r="240" spans="1:26" x14ac:dyDescent="0.2">
      <c r="A240">
        <v>525</v>
      </c>
      <c r="B240">
        <v>500</v>
      </c>
      <c r="E240">
        <v>380</v>
      </c>
      <c r="F240">
        <v>500</v>
      </c>
      <c r="I240">
        <v>240</v>
      </c>
      <c r="J240">
        <v>500</v>
      </c>
      <c r="M240">
        <v>175</v>
      </c>
      <c r="N240">
        <v>500</v>
      </c>
      <c r="U240">
        <v>225</v>
      </c>
      <c r="V240">
        <v>200</v>
      </c>
      <c r="Y240">
        <v>105</v>
      </c>
      <c r="Z240">
        <v>500</v>
      </c>
    </row>
    <row r="241" spans="1:26" x14ac:dyDescent="0.2">
      <c r="A241">
        <v>570</v>
      </c>
      <c r="B241">
        <v>450</v>
      </c>
      <c r="E241">
        <v>400</v>
      </c>
      <c r="F241">
        <v>450</v>
      </c>
      <c r="I241">
        <v>260</v>
      </c>
      <c r="J241">
        <v>450</v>
      </c>
      <c r="M241">
        <v>190</v>
      </c>
      <c r="N241">
        <v>450</v>
      </c>
      <c r="U241">
        <v>240</v>
      </c>
      <c r="V241">
        <v>150</v>
      </c>
      <c r="Y241">
        <v>110</v>
      </c>
      <c r="Z241">
        <v>450</v>
      </c>
    </row>
    <row r="242" spans="1:26" x14ac:dyDescent="0.2">
      <c r="A242">
        <v>615</v>
      </c>
      <c r="B242">
        <v>400</v>
      </c>
      <c r="E242">
        <v>440</v>
      </c>
      <c r="F242">
        <v>400</v>
      </c>
      <c r="I242">
        <v>280</v>
      </c>
      <c r="J242">
        <v>400</v>
      </c>
      <c r="M242">
        <v>200</v>
      </c>
      <c r="N242">
        <v>400</v>
      </c>
      <c r="U242">
        <v>265</v>
      </c>
      <c r="V242">
        <v>100</v>
      </c>
      <c r="Y242">
        <v>120</v>
      </c>
      <c r="Z242">
        <v>400</v>
      </c>
    </row>
    <row r="243" spans="1:26" x14ac:dyDescent="0.2">
      <c r="A243">
        <v>670</v>
      </c>
      <c r="B243">
        <v>350</v>
      </c>
      <c r="E243">
        <v>475</v>
      </c>
      <c r="F243">
        <v>350</v>
      </c>
      <c r="I243">
        <v>305</v>
      </c>
      <c r="J243">
        <v>350</v>
      </c>
      <c r="M243">
        <v>225</v>
      </c>
      <c r="N243">
        <v>350</v>
      </c>
      <c r="Y243">
        <v>135</v>
      </c>
      <c r="Z243">
        <v>350</v>
      </c>
    </row>
    <row r="244" spans="1:26" x14ac:dyDescent="0.2">
      <c r="A244">
        <v>735</v>
      </c>
      <c r="B244">
        <v>300</v>
      </c>
      <c r="E244">
        <v>520</v>
      </c>
      <c r="F244">
        <v>300</v>
      </c>
      <c r="I244">
        <v>335</v>
      </c>
      <c r="J244">
        <v>300</v>
      </c>
      <c r="M244">
        <v>240</v>
      </c>
      <c r="N244">
        <v>300</v>
      </c>
      <c r="Y244">
        <v>150</v>
      </c>
      <c r="Z244">
        <v>300</v>
      </c>
    </row>
    <row r="245" spans="1:26" x14ac:dyDescent="0.2">
      <c r="A245">
        <v>800</v>
      </c>
      <c r="B245">
        <v>250</v>
      </c>
      <c r="E245">
        <v>570</v>
      </c>
      <c r="F245">
        <v>250</v>
      </c>
      <c r="I245">
        <v>370</v>
      </c>
      <c r="J245">
        <v>250</v>
      </c>
      <c r="M245">
        <v>270</v>
      </c>
      <c r="N245">
        <v>250</v>
      </c>
      <c r="Y245">
        <v>160</v>
      </c>
      <c r="Z245">
        <v>250</v>
      </c>
    </row>
    <row r="246" spans="1:26" x14ac:dyDescent="0.2">
      <c r="A246">
        <v>875</v>
      </c>
      <c r="B246">
        <v>200</v>
      </c>
      <c r="E246">
        <v>625</v>
      </c>
      <c r="F246">
        <v>200</v>
      </c>
      <c r="I246">
        <v>400</v>
      </c>
      <c r="J246">
        <v>200</v>
      </c>
      <c r="M246">
        <v>290</v>
      </c>
      <c r="N246">
        <v>200</v>
      </c>
      <c r="Y246">
        <v>175</v>
      </c>
      <c r="Z246">
        <v>200</v>
      </c>
    </row>
    <row r="247" spans="1:26" x14ac:dyDescent="0.2">
      <c r="A247">
        <v>975</v>
      </c>
      <c r="B247">
        <v>150</v>
      </c>
      <c r="E247">
        <v>695</v>
      </c>
      <c r="F247">
        <v>150</v>
      </c>
      <c r="I247">
        <v>445</v>
      </c>
      <c r="J247">
        <v>150</v>
      </c>
      <c r="M247">
        <v>325</v>
      </c>
      <c r="N247">
        <v>150</v>
      </c>
      <c r="Y247">
        <v>195</v>
      </c>
      <c r="Z247">
        <v>150</v>
      </c>
    </row>
    <row r="248" spans="1:26" x14ac:dyDescent="0.2">
      <c r="A248">
        <v>1075</v>
      </c>
      <c r="B248">
        <v>100</v>
      </c>
      <c r="E248">
        <v>765</v>
      </c>
      <c r="F248">
        <v>100</v>
      </c>
      <c r="I248">
        <v>490</v>
      </c>
      <c r="J248">
        <v>100</v>
      </c>
      <c r="M248">
        <v>355</v>
      </c>
      <c r="N248">
        <v>100</v>
      </c>
      <c r="Y248">
        <v>215</v>
      </c>
      <c r="Z248">
        <v>100</v>
      </c>
    </row>
    <row r="373" spans="19:20" x14ac:dyDescent="0.2">
      <c r="S373" s="375" t="s">
        <v>68</v>
      </c>
      <c r="T373" s="376"/>
    </row>
    <row r="374" spans="19:20" x14ac:dyDescent="0.2">
      <c r="S374" s="2" t="s">
        <v>69</v>
      </c>
      <c r="T374" s="2">
        <v>1.5</v>
      </c>
    </row>
    <row r="375" spans="19:20" x14ac:dyDescent="0.2">
      <c r="S375" s="2" t="s">
        <v>70</v>
      </c>
      <c r="T375" s="2">
        <v>2.5</v>
      </c>
    </row>
    <row r="376" spans="19:20" x14ac:dyDescent="0.2">
      <c r="S376" s="2" t="s">
        <v>71</v>
      </c>
      <c r="T376" s="2">
        <v>4.5</v>
      </c>
    </row>
  </sheetData>
  <sheetProtection password="C74A" sheet="1" objects="1" scenarios="1" selectLockedCells="1" selectUnlockedCells="1"/>
  <mergeCells count="75">
    <mergeCell ref="AC161:AE161"/>
    <mergeCell ref="AG161:AI161"/>
    <mergeCell ref="Y129:AA129"/>
    <mergeCell ref="AC1:AE1"/>
    <mergeCell ref="AG1:AI1"/>
    <mergeCell ref="AK1:AM1"/>
    <mergeCell ref="AK33:AM33"/>
    <mergeCell ref="E129:G129"/>
    <mergeCell ref="I129:K129"/>
    <mergeCell ref="M129:O129"/>
    <mergeCell ref="AC129:AE129"/>
    <mergeCell ref="Q129:S129"/>
    <mergeCell ref="AG129:AI129"/>
    <mergeCell ref="AK129:AM129"/>
    <mergeCell ref="U129:W129"/>
    <mergeCell ref="Y1:AA1"/>
    <mergeCell ref="Y65:AA65"/>
    <mergeCell ref="Q1:S1"/>
    <mergeCell ref="U1:W1"/>
    <mergeCell ref="U33:W33"/>
    <mergeCell ref="Q65:S65"/>
    <mergeCell ref="A161:C161"/>
    <mergeCell ref="E161:G161"/>
    <mergeCell ref="A33:C33"/>
    <mergeCell ref="AG97:AI97"/>
    <mergeCell ref="AK97:AM97"/>
    <mergeCell ref="Y97:AA97"/>
    <mergeCell ref="AC97:AE97"/>
    <mergeCell ref="AC33:AE33"/>
    <mergeCell ref="AG33:AI33"/>
    <mergeCell ref="AG65:AI65"/>
    <mergeCell ref="AC65:AE65"/>
    <mergeCell ref="AK65:AM65"/>
    <mergeCell ref="I161:K161"/>
    <mergeCell ref="M161:O161"/>
    <mergeCell ref="AK161:AM161"/>
    <mergeCell ref="Y161:AA161"/>
    <mergeCell ref="A65:C65"/>
    <mergeCell ref="E65:G65"/>
    <mergeCell ref="A97:C97"/>
    <mergeCell ref="A129:C129"/>
    <mergeCell ref="I97:K97"/>
    <mergeCell ref="Q33:S33"/>
    <mergeCell ref="Y33:AA33"/>
    <mergeCell ref="A222:C222"/>
    <mergeCell ref="E222:G222"/>
    <mergeCell ref="I1:K1"/>
    <mergeCell ref="M1:O1"/>
    <mergeCell ref="A1:C1"/>
    <mergeCell ref="E1:G1"/>
    <mergeCell ref="I222:K222"/>
    <mergeCell ref="E97:G97"/>
    <mergeCell ref="E33:G33"/>
    <mergeCell ref="I65:K65"/>
    <mergeCell ref="M65:O65"/>
    <mergeCell ref="I33:K33"/>
    <mergeCell ref="M33:O33"/>
    <mergeCell ref="A193:C193"/>
    <mergeCell ref="E193:G193"/>
    <mergeCell ref="I193:K193"/>
    <mergeCell ref="Y193:AA193"/>
    <mergeCell ref="Q193:S193"/>
    <mergeCell ref="U193:W193"/>
    <mergeCell ref="U222:W222"/>
    <mergeCell ref="Y222:AA222"/>
    <mergeCell ref="U97:W97"/>
    <mergeCell ref="U161:W161"/>
    <mergeCell ref="U65:W65"/>
    <mergeCell ref="S373:T373"/>
    <mergeCell ref="M193:O193"/>
    <mergeCell ref="Q222:S222"/>
    <mergeCell ref="M97:O97"/>
    <mergeCell ref="Q97:S97"/>
    <mergeCell ref="Q161:S161"/>
    <mergeCell ref="M222:O222"/>
  </mergeCells>
  <phoneticPr fontId="8"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39997558519241921"/>
  </sheetPr>
  <dimension ref="A1:U154"/>
  <sheetViews>
    <sheetView workbookViewId="0">
      <selection activeCell="G50" sqref="G50"/>
    </sheetView>
  </sheetViews>
  <sheetFormatPr defaultRowHeight="12.75" x14ac:dyDescent="0.2"/>
  <cols>
    <col min="1" max="1" width="16.42578125" bestFit="1" customWidth="1"/>
    <col min="2" max="2" width="15.85546875" bestFit="1" customWidth="1"/>
    <col min="3" max="3" width="16.42578125" bestFit="1" customWidth="1"/>
    <col min="4" max="4" width="15.85546875" customWidth="1"/>
    <col min="6" max="6" width="16.42578125" bestFit="1" customWidth="1"/>
    <col min="7" max="7" width="15.85546875" bestFit="1" customWidth="1"/>
    <col min="8" max="9" width="15.85546875" customWidth="1"/>
    <col min="11" max="11" width="16.42578125" bestFit="1" customWidth="1"/>
    <col min="12" max="12" width="15.85546875" bestFit="1" customWidth="1"/>
    <col min="13" max="13" width="16.42578125" bestFit="1" customWidth="1"/>
    <col min="14" max="14" width="15.85546875" customWidth="1"/>
    <col min="16" max="16" width="16.42578125" bestFit="1" customWidth="1"/>
    <col min="17" max="17" width="15.85546875" bestFit="1" customWidth="1"/>
    <col min="18" max="18" width="16.42578125" bestFit="1" customWidth="1"/>
    <col min="19" max="19" width="15.85546875" bestFit="1" customWidth="1"/>
  </cols>
  <sheetData>
    <row r="1" spans="1:21" x14ac:dyDescent="0.2">
      <c r="A1" s="381" t="s">
        <v>304</v>
      </c>
      <c r="B1" s="382"/>
      <c r="C1" s="379" t="s">
        <v>332</v>
      </c>
      <c r="D1" s="380"/>
      <c r="F1" s="381" t="s">
        <v>305</v>
      </c>
      <c r="G1" s="382"/>
      <c r="H1" s="379" t="s">
        <v>332</v>
      </c>
      <c r="I1" s="380"/>
      <c r="K1" s="381" t="s">
        <v>306</v>
      </c>
      <c r="L1" s="382"/>
      <c r="M1" s="379" t="s">
        <v>332</v>
      </c>
      <c r="N1" s="380"/>
      <c r="P1" s="381" t="s">
        <v>307</v>
      </c>
      <c r="Q1" s="382"/>
      <c r="R1" s="379" t="s">
        <v>332</v>
      </c>
      <c r="S1" s="380"/>
      <c r="U1" s="195"/>
    </row>
    <row r="2" spans="1:21" x14ac:dyDescent="0.2">
      <c r="A2" s="83" t="s">
        <v>34</v>
      </c>
      <c r="B2" s="5" t="s">
        <v>308</v>
      </c>
      <c r="C2" s="5" t="s">
        <v>34</v>
      </c>
      <c r="D2" s="85" t="s">
        <v>308</v>
      </c>
      <c r="F2" s="83" t="s">
        <v>34</v>
      </c>
      <c r="G2" s="5" t="s">
        <v>308</v>
      </c>
      <c r="H2" s="5" t="s">
        <v>34</v>
      </c>
      <c r="I2" s="85" t="s">
        <v>308</v>
      </c>
      <c r="K2" s="83" t="s">
        <v>34</v>
      </c>
      <c r="L2" s="5" t="s">
        <v>308</v>
      </c>
      <c r="M2" s="5" t="s">
        <v>34</v>
      </c>
      <c r="N2" s="85" t="s">
        <v>308</v>
      </c>
      <c r="P2" s="83" t="s">
        <v>34</v>
      </c>
      <c r="Q2" s="5" t="s">
        <v>308</v>
      </c>
      <c r="R2" s="5" t="s">
        <v>34</v>
      </c>
      <c r="S2" s="85" t="s">
        <v>308</v>
      </c>
    </row>
    <row r="3" spans="1:21" x14ac:dyDescent="0.2">
      <c r="A3" s="83">
        <v>35</v>
      </c>
      <c r="B3" s="5">
        <v>1800</v>
      </c>
      <c r="C3" s="5">
        <v>35</v>
      </c>
      <c r="D3" s="196">
        <f>-457.5*LN(C3)+3416.9</f>
        <v>1790.3282618685935</v>
      </c>
      <c r="F3" s="83">
        <v>60</v>
      </c>
      <c r="G3" s="5">
        <v>1400</v>
      </c>
      <c r="H3" s="5">
        <v>60</v>
      </c>
      <c r="I3" s="196">
        <f>-451.8*LN(H3)+3231.3</f>
        <v>1381.4751267880551</v>
      </c>
      <c r="K3" s="83">
        <v>45</v>
      </c>
      <c r="L3" s="5">
        <v>1400</v>
      </c>
      <c r="M3" s="5">
        <v>45</v>
      </c>
      <c r="N3" s="196">
        <f>-442.2*LN(M3)+3086.6</f>
        <v>1403.2938470235647</v>
      </c>
      <c r="P3" s="83">
        <v>60</v>
      </c>
      <c r="Q3" s="5">
        <v>1200</v>
      </c>
      <c r="R3" s="5">
        <v>60</v>
      </c>
      <c r="S3" s="196">
        <f>-465.6*LN(R3)+3112.3</f>
        <v>1205.9731718293901</v>
      </c>
    </row>
    <row r="4" spans="1:21" x14ac:dyDescent="0.2">
      <c r="A4" s="83">
        <v>40</v>
      </c>
      <c r="B4" s="5">
        <v>1750</v>
      </c>
      <c r="C4" s="5">
        <v>40</v>
      </c>
      <c r="D4" s="196">
        <f t="shared" ref="D4:D37" si="0">-457.5*LN(C4)+3416.9</f>
        <v>1729.2376497428743</v>
      </c>
      <c r="F4" s="83">
        <v>65</v>
      </c>
      <c r="G4" s="5">
        <v>1350</v>
      </c>
      <c r="H4" s="5">
        <v>65</v>
      </c>
      <c r="I4" s="196">
        <f t="shared" ref="I4:I29" si="1">-451.8*LN(H4)+3231.3</f>
        <v>1345.3118314611515</v>
      </c>
      <c r="K4" s="83">
        <v>50</v>
      </c>
      <c r="L4" s="5">
        <v>1350</v>
      </c>
      <c r="M4" s="5">
        <v>50</v>
      </c>
      <c r="N4" s="196">
        <f t="shared" ref="N4:N29" si="2">-442.2*LN(M4)+3086.6</f>
        <v>1356.7034269996739</v>
      </c>
      <c r="P4" s="83">
        <v>70</v>
      </c>
      <c r="Q4" s="5">
        <v>1150</v>
      </c>
      <c r="R4" s="5">
        <v>70</v>
      </c>
      <c r="S4" s="196">
        <f t="shared" ref="S4:S25" si="3">-465.6*LN(R4)+3112.3</f>
        <v>1134.2006153018183</v>
      </c>
    </row>
    <row r="5" spans="1:21" x14ac:dyDescent="0.2">
      <c r="A5" s="83">
        <v>45</v>
      </c>
      <c r="B5" s="5">
        <v>1700</v>
      </c>
      <c r="C5" s="5">
        <v>45</v>
      </c>
      <c r="D5" s="196">
        <f t="shared" si="0"/>
        <v>1675.3519109300789</v>
      </c>
      <c r="F5" s="83">
        <v>70</v>
      </c>
      <c r="G5" s="5">
        <v>1300</v>
      </c>
      <c r="H5" s="5">
        <v>70</v>
      </c>
      <c r="I5" s="196">
        <f t="shared" si="1"/>
        <v>1311.8298496420996</v>
      </c>
      <c r="K5" s="83">
        <v>55</v>
      </c>
      <c r="L5" s="5">
        <v>1300</v>
      </c>
      <c r="M5" s="5">
        <v>55</v>
      </c>
      <c r="N5" s="196">
        <f t="shared" si="2"/>
        <v>1314.5572654902012</v>
      </c>
      <c r="P5" s="83">
        <v>75</v>
      </c>
      <c r="Q5" s="5">
        <v>1100</v>
      </c>
      <c r="R5" s="5">
        <v>75</v>
      </c>
      <c r="S5" s="196">
        <f t="shared" si="3"/>
        <v>1102.0775343374942</v>
      </c>
    </row>
    <row r="6" spans="1:21" x14ac:dyDescent="0.2">
      <c r="A6" s="83">
        <v>50</v>
      </c>
      <c r="B6" s="5">
        <v>1650</v>
      </c>
      <c r="C6" s="5">
        <v>50</v>
      </c>
      <c r="D6" s="196">
        <f t="shared" si="0"/>
        <v>1627.1494750166232</v>
      </c>
      <c r="F6" s="83">
        <v>75</v>
      </c>
      <c r="G6" s="5">
        <v>1250</v>
      </c>
      <c r="H6" s="5">
        <v>75</v>
      </c>
      <c r="I6" s="196">
        <f t="shared" si="1"/>
        <v>1280.6588703042953</v>
      </c>
      <c r="K6" s="83">
        <v>60</v>
      </c>
      <c r="L6" s="5">
        <v>1250</v>
      </c>
      <c r="M6" s="5">
        <v>60</v>
      </c>
      <c r="N6" s="196">
        <f t="shared" si="2"/>
        <v>1276.0808345853873</v>
      </c>
      <c r="P6" s="83">
        <v>85</v>
      </c>
      <c r="Q6" s="5">
        <v>1050</v>
      </c>
      <c r="R6" s="5">
        <v>85</v>
      </c>
      <c r="S6" s="196">
        <f t="shared" si="3"/>
        <v>1043.8015749781084</v>
      </c>
    </row>
    <row r="7" spans="1:21" x14ac:dyDescent="0.2">
      <c r="A7" s="83">
        <v>55</v>
      </c>
      <c r="B7" s="5">
        <v>1600</v>
      </c>
      <c r="C7" s="5">
        <v>55</v>
      </c>
      <c r="D7" s="196">
        <f t="shared" si="0"/>
        <v>1583.5450677561446</v>
      </c>
      <c r="F7" s="83">
        <v>90</v>
      </c>
      <c r="G7" s="5">
        <v>1200</v>
      </c>
      <c r="H7" s="5">
        <v>90</v>
      </c>
      <c r="I7" s="196">
        <f t="shared" si="1"/>
        <v>1198.2859909447864</v>
      </c>
      <c r="K7" s="83">
        <v>65</v>
      </c>
      <c r="L7" s="5">
        <v>1200</v>
      </c>
      <c r="M7" s="5">
        <v>65</v>
      </c>
      <c r="N7" s="196">
        <f t="shared" si="2"/>
        <v>1240.6859492521494</v>
      </c>
      <c r="P7" s="83">
        <v>95</v>
      </c>
      <c r="Q7" s="5">
        <v>1000</v>
      </c>
      <c r="R7" s="5">
        <v>95</v>
      </c>
      <c r="S7" s="196">
        <f t="shared" si="3"/>
        <v>992.01491927078814</v>
      </c>
    </row>
    <row r="8" spans="1:21" x14ac:dyDescent="0.2">
      <c r="A8" s="83">
        <v>60</v>
      </c>
      <c r="B8" s="5">
        <v>1550</v>
      </c>
      <c r="C8" s="5">
        <v>60</v>
      </c>
      <c r="D8" s="196">
        <f t="shared" si="0"/>
        <v>1543.7373627833892</v>
      </c>
      <c r="F8" s="83">
        <v>100</v>
      </c>
      <c r="G8" s="5">
        <v>1150</v>
      </c>
      <c r="H8" s="5">
        <v>100</v>
      </c>
      <c r="I8" s="196">
        <f t="shared" si="1"/>
        <v>1150.6841099705803</v>
      </c>
      <c r="K8" s="83">
        <v>80</v>
      </c>
      <c r="L8" s="5">
        <v>1150</v>
      </c>
      <c r="M8" s="5">
        <v>80</v>
      </c>
      <c r="N8" s="196">
        <f t="shared" si="2"/>
        <v>1148.8678221472096</v>
      </c>
      <c r="P8" s="83">
        <v>105</v>
      </c>
      <c r="Q8" s="5">
        <v>950</v>
      </c>
      <c r="R8" s="5">
        <v>105</v>
      </c>
      <c r="S8" s="196">
        <f t="shared" si="3"/>
        <v>945.41606096665737</v>
      </c>
    </row>
    <row r="9" spans="1:21" x14ac:dyDescent="0.2">
      <c r="A9" s="83">
        <v>65</v>
      </c>
      <c r="B9" s="5">
        <v>1500</v>
      </c>
      <c r="C9" s="5">
        <v>65</v>
      </c>
      <c r="D9" s="196">
        <f t="shared" si="0"/>
        <v>1507.1178240227462</v>
      </c>
      <c r="F9" s="83">
        <v>110</v>
      </c>
      <c r="G9" s="5">
        <v>1100</v>
      </c>
      <c r="H9" s="5">
        <v>110</v>
      </c>
      <c r="I9" s="196">
        <f t="shared" si="1"/>
        <v>1107.6229707349862</v>
      </c>
      <c r="K9" s="83">
        <v>90</v>
      </c>
      <c r="L9" s="5">
        <v>1100</v>
      </c>
      <c r="M9" s="5">
        <v>90</v>
      </c>
      <c r="N9" s="196">
        <f t="shared" si="2"/>
        <v>1096.7841637799568</v>
      </c>
      <c r="P9" s="83">
        <v>120</v>
      </c>
      <c r="Q9" s="5">
        <v>900</v>
      </c>
      <c r="R9" s="5">
        <v>120</v>
      </c>
      <c r="S9" s="196">
        <f t="shared" si="3"/>
        <v>883.24384456067946</v>
      </c>
    </row>
    <row r="10" spans="1:21" x14ac:dyDescent="0.2">
      <c r="A10" s="83">
        <v>75</v>
      </c>
      <c r="B10" s="5">
        <v>1450</v>
      </c>
      <c r="C10" s="5">
        <v>75</v>
      </c>
      <c r="D10" s="196">
        <f t="shared" si="0"/>
        <v>1441.6491880571382</v>
      </c>
      <c r="F10" s="83">
        <v>125</v>
      </c>
      <c r="G10" s="5">
        <v>1050</v>
      </c>
      <c r="H10" s="5">
        <v>125</v>
      </c>
      <c r="I10" s="196">
        <f t="shared" si="1"/>
        <v>1049.8678534868204</v>
      </c>
      <c r="K10" s="83">
        <v>105</v>
      </c>
      <c r="L10" s="5">
        <v>1050</v>
      </c>
      <c r="M10" s="5">
        <v>105</v>
      </c>
      <c r="N10" s="196">
        <f t="shared" si="2"/>
        <v>1028.6187331603433</v>
      </c>
      <c r="P10" s="83">
        <v>125</v>
      </c>
      <c r="Q10" s="5">
        <v>850</v>
      </c>
      <c r="R10" s="5">
        <v>125</v>
      </c>
      <c r="S10" s="196">
        <f t="shared" si="3"/>
        <v>864.23712391204845</v>
      </c>
    </row>
    <row r="11" spans="1:21" x14ac:dyDescent="0.2">
      <c r="A11" s="83">
        <v>80</v>
      </c>
      <c r="B11" s="5">
        <v>1400</v>
      </c>
      <c r="C11" s="5">
        <v>80</v>
      </c>
      <c r="D11" s="196">
        <f t="shared" si="0"/>
        <v>1412.1228146366993</v>
      </c>
      <c r="F11" s="83">
        <v>140</v>
      </c>
      <c r="G11" s="5">
        <v>1000</v>
      </c>
      <c r="H11" s="5">
        <v>140</v>
      </c>
      <c r="I11" s="196">
        <f t="shared" si="1"/>
        <v>998.66595346511667</v>
      </c>
      <c r="K11" s="83">
        <v>120</v>
      </c>
      <c r="L11" s="5">
        <v>1000</v>
      </c>
      <c r="M11" s="5">
        <v>120</v>
      </c>
      <c r="N11" s="196">
        <f t="shared" si="2"/>
        <v>969.57115134177911</v>
      </c>
      <c r="P11" s="83">
        <v>140</v>
      </c>
      <c r="Q11" s="5">
        <v>800</v>
      </c>
      <c r="R11" s="5">
        <v>140</v>
      </c>
      <c r="S11" s="196">
        <f t="shared" si="3"/>
        <v>811.47128803310807</v>
      </c>
    </row>
    <row r="12" spans="1:21" x14ac:dyDescent="0.2">
      <c r="A12" s="83">
        <v>85</v>
      </c>
      <c r="B12" s="5">
        <v>1350</v>
      </c>
      <c r="C12" s="5">
        <v>85</v>
      </c>
      <c r="D12" s="196">
        <f t="shared" si="0"/>
        <v>1384.3870501556803</v>
      </c>
      <c r="F12" s="83">
        <v>155</v>
      </c>
      <c r="G12" s="5">
        <v>950</v>
      </c>
      <c r="H12" s="5">
        <v>155</v>
      </c>
      <c r="I12" s="196">
        <f t="shared" si="1"/>
        <v>952.68053217588431</v>
      </c>
      <c r="K12" s="83">
        <v>130</v>
      </c>
      <c r="L12" s="5">
        <v>950</v>
      </c>
      <c r="M12" s="5">
        <v>130</v>
      </c>
      <c r="N12" s="196">
        <f t="shared" si="2"/>
        <v>934.17626600854146</v>
      </c>
      <c r="P12" s="83">
        <v>160</v>
      </c>
      <c r="Q12" s="5">
        <v>750</v>
      </c>
      <c r="R12" s="5">
        <v>160</v>
      </c>
      <c r="S12" s="196">
        <f t="shared" si="3"/>
        <v>749.29907162713062</v>
      </c>
    </row>
    <row r="13" spans="1:21" x14ac:dyDescent="0.2">
      <c r="A13" s="83">
        <v>100</v>
      </c>
      <c r="B13" s="5">
        <v>1300</v>
      </c>
      <c r="C13" s="5">
        <v>100</v>
      </c>
      <c r="D13" s="196">
        <f t="shared" si="0"/>
        <v>1310.0346399104483</v>
      </c>
      <c r="F13" s="83">
        <v>180</v>
      </c>
      <c r="G13" s="5">
        <v>900</v>
      </c>
      <c r="H13" s="5">
        <v>180</v>
      </c>
      <c r="I13" s="196">
        <f t="shared" si="1"/>
        <v>885.12209476780299</v>
      </c>
      <c r="K13" s="83">
        <v>145</v>
      </c>
      <c r="L13" s="5">
        <v>900</v>
      </c>
      <c r="M13" s="5">
        <v>145</v>
      </c>
      <c r="N13" s="196">
        <f t="shared" si="2"/>
        <v>885.88833910162202</v>
      </c>
      <c r="P13" s="83">
        <v>175</v>
      </c>
      <c r="Q13" s="5">
        <v>700</v>
      </c>
      <c r="R13" s="5">
        <v>175</v>
      </c>
      <c r="S13" s="196">
        <f t="shared" si="3"/>
        <v>707.57565054121187</v>
      </c>
    </row>
    <row r="14" spans="1:21" x14ac:dyDescent="0.2">
      <c r="A14" s="83">
        <v>110</v>
      </c>
      <c r="B14" s="5">
        <v>1250</v>
      </c>
      <c r="C14" s="5">
        <v>110</v>
      </c>
      <c r="D14" s="196">
        <f t="shared" si="0"/>
        <v>1266.4302326499696</v>
      </c>
      <c r="F14" s="83">
        <v>195</v>
      </c>
      <c r="G14" s="5">
        <v>850</v>
      </c>
      <c r="H14" s="5">
        <v>195</v>
      </c>
      <c r="I14" s="196">
        <f t="shared" si="1"/>
        <v>848.95879944089938</v>
      </c>
      <c r="K14" s="83">
        <v>160</v>
      </c>
      <c r="L14" s="5">
        <v>850</v>
      </c>
      <c r="M14" s="5">
        <v>160</v>
      </c>
      <c r="N14" s="196">
        <f t="shared" si="2"/>
        <v>842.35813890360168</v>
      </c>
      <c r="P14" s="83">
        <v>190</v>
      </c>
      <c r="Q14" s="5">
        <v>650</v>
      </c>
      <c r="R14" s="5">
        <v>190</v>
      </c>
      <c r="S14" s="196">
        <f t="shared" si="3"/>
        <v>669.28559200207792</v>
      </c>
    </row>
    <row r="15" spans="1:21" x14ac:dyDescent="0.2">
      <c r="A15" s="83">
        <v>120</v>
      </c>
      <c r="B15" s="5">
        <v>1200</v>
      </c>
      <c r="C15" s="5">
        <v>120</v>
      </c>
      <c r="D15" s="196">
        <f t="shared" si="0"/>
        <v>1226.6225276772143</v>
      </c>
      <c r="F15" s="83">
        <v>225</v>
      </c>
      <c r="G15" s="5">
        <v>800</v>
      </c>
      <c r="H15" s="5">
        <v>225</v>
      </c>
      <c r="I15" s="196">
        <f t="shared" si="1"/>
        <v>784.30583828404315</v>
      </c>
      <c r="K15" s="83">
        <v>185</v>
      </c>
      <c r="L15" s="5">
        <v>800</v>
      </c>
      <c r="M15" s="5">
        <v>185</v>
      </c>
      <c r="N15" s="196">
        <f t="shared" si="2"/>
        <v>778.15865415036478</v>
      </c>
      <c r="P15" s="83">
        <v>215</v>
      </c>
      <c r="Q15" s="5">
        <v>600</v>
      </c>
      <c r="R15" s="5">
        <v>215</v>
      </c>
      <c r="S15" s="196">
        <f t="shared" si="3"/>
        <v>611.73093410376032</v>
      </c>
    </row>
    <row r="16" spans="1:21" x14ac:dyDescent="0.2">
      <c r="A16" s="83">
        <v>135</v>
      </c>
      <c r="B16" s="5">
        <v>1150</v>
      </c>
      <c r="C16" s="5">
        <v>135</v>
      </c>
      <c r="D16" s="196">
        <f t="shared" si="0"/>
        <v>1172.7367888644185</v>
      </c>
      <c r="F16" s="83">
        <v>245</v>
      </c>
      <c r="G16" s="5">
        <v>750</v>
      </c>
      <c r="H16" s="5">
        <v>245</v>
      </c>
      <c r="I16" s="196">
        <f t="shared" si="1"/>
        <v>745.83154047589233</v>
      </c>
      <c r="K16" s="83">
        <v>200</v>
      </c>
      <c r="L16" s="5">
        <v>750</v>
      </c>
      <c r="M16" s="5">
        <v>200</v>
      </c>
      <c r="N16" s="196">
        <f t="shared" si="2"/>
        <v>743.68406051245847</v>
      </c>
      <c r="P16" s="83">
        <v>245</v>
      </c>
      <c r="Q16" s="5">
        <v>550</v>
      </c>
      <c r="R16" s="5">
        <v>245</v>
      </c>
      <c r="S16" s="196">
        <f t="shared" si="3"/>
        <v>550.91417717037484</v>
      </c>
    </row>
    <row r="17" spans="1:19" x14ac:dyDescent="0.2">
      <c r="A17" s="83">
        <v>150</v>
      </c>
      <c r="B17" s="5">
        <v>1100</v>
      </c>
      <c r="C17" s="5">
        <v>150</v>
      </c>
      <c r="D17" s="196">
        <f t="shared" si="0"/>
        <v>1124.5343529509632</v>
      </c>
      <c r="F17" s="83">
        <v>275</v>
      </c>
      <c r="G17" s="5">
        <v>700</v>
      </c>
      <c r="H17" s="5">
        <v>275</v>
      </c>
      <c r="I17" s="196">
        <f t="shared" si="1"/>
        <v>693.64281807424322</v>
      </c>
      <c r="K17" s="83">
        <v>225</v>
      </c>
      <c r="L17" s="5">
        <v>700</v>
      </c>
      <c r="M17" s="5">
        <v>225</v>
      </c>
      <c r="N17" s="196">
        <f t="shared" si="2"/>
        <v>691.60040214520541</v>
      </c>
      <c r="P17" s="83">
        <v>275</v>
      </c>
      <c r="Q17" s="5">
        <v>500</v>
      </c>
      <c r="R17" s="5">
        <v>275</v>
      </c>
      <c r="S17" s="196">
        <f t="shared" si="3"/>
        <v>497.13137692644432</v>
      </c>
    </row>
    <row r="18" spans="1:19" x14ac:dyDescent="0.2">
      <c r="A18" s="83">
        <v>175</v>
      </c>
      <c r="B18" s="5">
        <v>1050</v>
      </c>
      <c r="C18" s="5">
        <v>175</v>
      </c>
      <c r="D18" s="196">
        <f t="shared" si="0"/>
        <v>1054.0104169299921</v>
      </c>
      <c r="F18" s="83">
        <v>300</v>
      </c>
      <c r="G18" s="5">
        <v>650</v>
      </c>
      <c r="H18" s="5">
        <v>300</v>
      </c>
      <c r="I18" s="196">
        <f t="shared" si="1"/>
        <v>654.33107795032856</v>
      </c>
      <c r="K18" s="83">
        <v>250</v>
      </c>
      <c r="L18" s="5">
        <v>650</v>
      </c>
      <c r="M18" s="5">
        <v>250</v>
      </c>
      <c r="N18" s="196">
        <f t="shared" si="2"/>
        <v>645.00998212131481</v>
      </c>
      <c r="P18" s="83">
        <v>305</v>
      </c>
      <c r="Q18" s="5">
        <v>450</v>
      </c>
      <c r="R18" s="5">
        <v>305</v>
      </c>
      <c r="S18" s="196">
        <f t="shared" si="3"/>
        <v>448.92283681158915</v>
      </c>
    </row>
    <row r="19" spans="1:19" x14ac:dyDescent="0.2">
      <c r="A19" s="83">
        <v>190</v>
      </c>
      <c r="B19" s="5">
        <v>1000</v>
      </c>
      <c r="C19" s="5">
        <v>190</v>
      </c>
      <c r="D19" s="196">
        <f t="shared" si="0"/>
        <v>1016.3864869865779</v>
      </c>
      <c r="F19" s="83">
        <v>340</v>
      </c>
      <c r="G19" s="5">
        <v>600</v>
      </c>
      <c r="H19" s="5">
        <v>340</v>
      </c>
      <c r="I19" s="196">
        <f t="shared" si="1"/>
        <v>597.78236996370833</v>
      </c>
      <c r="K19" s="83">
        <v>280</v>
      </c>
      <c r="L19" s="5">
        <v>600</v>
      </c>
      <c r="M19" s="5">
        <v>280</v>
      </c>
      <c r="N19" s="196">
        <f t="shared" si="2"/>
        <v>594.8960374785579</v>
      </c>
      <c r="P19" s="83">
        <v>340</v>
      </c>
      <c r="Q19" s="5">
        <v>400</v>
      </c>
      <c r="R19" s="5">
        <v>340</v>
      </c>
      <c r="S19" s="196">
        <f t="shared" si="3"/>
        <v>398.34292044068752</v>
      </c>
    </row>
    <row r="20" spans="1:19" x14ac:dyDescent="0.2">
      <c r="A20" s="83">
        <v>215</v>
      </c>
      <c r="B20" s="5">
        <v>950</v>
      </c>
      <c r="C20" s="5">
        <v>215</v>
      </c>
      <c r="D20" s="196">
        <f t="shared" si="0"/>
        <v>959.83310213159439</v>
      </c>
      <c r="F20" s="83">
        <v>380</v>
      </c>
      <c r="G20" s="5">
        <v>550</v>
      </c>
      <c r="H20" s="5">
        <v>380</v>
      </c>
      <c r="I20" s="196">
        <f t="shared" si="1"/>
        <v>547.53062802090926</v>
      </c>
      <c r="K20" s="83">
        <v>310</v>
      </c>
      <c r="L20" s="5">
        <v>550</v>
      </c>
      <c r="M20" s="5">
        <v>310</v>
      </c>
      <c r="N20" s="196">
        <f t="shared" si="2"/>
        <v>549.88773005470102</v>
      </c>
      <c r="P20" s="83">
        <v>380</v>
      </c>
      <c r="Q20" s="5">
        <v>350</v>
      </c>
      <c r="R20" s="5">
        <v>380</v>
      </c>
      <c r="S20" s="196">
        <f t="shared" si="3"/>
        <v>346.55626473336724</v>
      </c>
    </row>
    <row r="21" spans="1:19" x14ac:dyDescent="0.2">
      <c r="A21" s="83">
        <v>250</v>
      </c>
      <c r="B21" s="5">
        <v>900</v>
      </c>
      <c r="C21" s="5">
        <v>250</v>
      </c>
      <c r="D21" s="196">
        <f t="shared" si="0"/>
        <v>890.8316300780225</v>
      </c>
      <c r="F21" s="83">
        <v>425</v>
      </c>
      <c r="G21" s="5">
        <v>500</v>
      </c>
      <c r="H21" s="5">
        <v>425</v>
      </c>
      <c r="I21" s="196">
        <f t="shared" si="1"/>
        <v>496.96611347994849</v>
      </c>
      <c r="K21" s="83">
        <v>350</v>
      </c>
      <c r="L21" s="5">
        <v>500</v>
      </c>
      <c r="M21" s="5">
        <v>350</v>
      </c>
      <c r="N21" s="196">
        <f t="shared" si="2"/>
        <v>496.22195908741423</v>
      </c>
      <c r="P21" s="83">
        <v>425</v>
      </c>
      <c r="Q21" s="5">
        <v>300</v>
      </c>
      <c r="R21" s="5">
        <v>425</v>
      </c>
      <c r="S21" s="196">
        <f t="shared" si="3"/>
        <v>294.44728294879133</v>
      </c>
    </row>
    <row r="22" spans="1:19" x14ac:dyDescent="0.2">
      <c r="A22" s="83">
        <v>280</v>
      </c>
      <c r="B22" s="5">
        <v>850</v>
      </c>
      <c r="C22" s="5">
        <v>280</v>
      </c>
      <c r="D22" s="196">
        <f t="shared" si="0"/>
        <v>838.98375655006839</v>
      </c>
      <c r="F22" s="83">
        <v>475</v>
      </c>
      <c r="G22" s="5">
        <v>450</v>
      </c>
      <c r="H22" s="5">
        <v>475</v>
      </c>
      <c r="I22" s="196">
        <f t="shared" si="1"/>
        <v>446.71437153714896</v>
      </c>
      <c r="K22" s="83">
        <v>385</v>
      </c>
      <c r="L22" s="5">
        <v>450</v>
      </c>
      <c r="M22" s="5">
        <v>385</v>
      </c>
      <c r="N22" s="196">
        <f t="shared" si="2"/>
        <v>454.07579757794156</v>
      </c>
      <c r="P22" s="83">
        <v>475</v>
      </c>
      <c r="Q22" s="5">
        <v>250</v>
      </c>
      <c r="R22" s="5">
        <v>475</v>
      </c>
      <c r="S22" s="196">
        <f t="shared" si="3"/>
        <v>242.66062724147105</v>
      </c>
    </row>
    <row r="23" spans="1:19" x14ac:dyDescent="0.2">
      <c r="A23" s="83">
        <v>310</v>
      </c>
      <c r="B23" s="5">
        <v>800</v>
      </c>
      <c r="C23" s="5">
        <v>310</v>
      </c>
      <c r="D23" s="196">
        <f t="shared" si="0"/>
        <v>792.41817390326969</v>
      </c>
      <c r="F23" s="83">
        <v>525</v>
      </c>
      <c r="G23" s="5">
        <v>400</v>
      </c>
      <c r="H23" s="5">
        <v>525</v>
      </c>
      <c r="I23" s="196">
        <f t="shared" si="1"/>
        <v>401.49666496110467</v>
      </c>
      <c r="K23" s="83">
        <v>435</v>
      </c>
      <c r="L23" s="5">
        <v>400</v>
      </c>
      <c r="M23" s="5">
        <v>435</v>
      </c>
      <c r="N23" s="196">
        <f t="shared" si="2"/>
        <v>400.0819850525836</v>
      </c>
      <c r="P23" s="83">
        <v>525</v>
      </c>
      <c r="Q23" s="5">
        <v>200</v>
      </c>
      <c r="R23" s="5">
        <v>525</v>
      </c>
      <c r="S23" s="196">
        <f t="shared" si="3"/>
        <v>196.06176893734028</v>
      </c>
    </row>
    <row r="24" spans="1:19" x14ac:dyDescent="0.2">
      <c r="A24" s="83">
        <v>350</v>
      </c>
      <c r="B24" s="5">
        <v>750</v>
      </c>
      <c r="C24" s="5">
        <v>350</v>
      </c>
      <c r="D24" s="196">
        <f t="shared" si="0"/>
        <v>736.89558182381779</v>
      </c>
      <c r="F24" s="83">
        <v>590</v>
      </c>
      <c r="G24" s="5">
        <v>350</v>
      </c>
      <c r="H24" s="5">
        <v>590</v>
      </c>
      <c r="I24" s="196">
        <f t="shared" si="1"/>
        <v>348.76063782868641</v>
      </c>
      <c r="K24" s="83">
        <v>485</v>
      </c>
      <c r="L24" s="5">
        <v>350</v>
      </c>
      <c r="M24" s="5">
        <v>485</v>
      </c>
      <c r="N24" s="196">
        <f t="shared" si="2"/>
        <v>351.96936042744483</v>
      </c>
      <c r="P24" s="83">
        <v>575</v>
      </c>
      <c r="Q24" s="5">
        <v>150</v>
      </c>
      <c r="R24" s="5">
        <v>575</v>
      </c>
      <c r="S24" s="196">
        <f t="shared" si="3"/>
        <v>153.70530900475342</v>
      </c>
    </row>
    <row r="25" spans="1:19" x14ac:dyDescent="0.2">
      <c r="A25" s="83">
        <v>385</v>
      </c>
      <c r="B25" s="5">
        <v>700</v>
      </c>
      <c r="C25" s="5">
        <v>385</v>
      </c>
      <c r="D25" s="196">
        <f t="shared" si="0"/>
        <v>693.2911745633387</v>
      </c>
      <c r="F25" s="83">
        <v>655</v>
      </c>
      <c r="G25" s="5">
        <v>300</v>
      </c>
      <c r="H25" s="5">
        <v>655</v>
      </c>
      <c r="I25" s="196">
        <f t="shared" si="1"/>
        <v>301.54180053999335</v>
      </c>
      <c r="K25" s="83">
        <v>535</v>
      </c>
      <c r="L25" s="5">
        <v>300</v>
      </c>
      <c r="M25" s="5">
        <v>535</v>
      </c>
      <c r="N25" s="196">
        <f t="shared" si="2"/>
        <v>308.58164452258598</v>
      </c>
      <c r="P25" s="83">
        <v>650</v>
      </c>
      <c r="Q25" s="5">
        <v>100</v>
      </c>
      <c r="R25" s="5">
        <v>650</v>
      </c>
      <c r="S25" s="196">
        <f t="shared" si="3"/>
        <v>96.621667838563553</v>
      </c>
    </row>
    <row r="26" spans="1:19" x14ac:dyDescent="0.2">
      <c r="A26" s="83">
        <v>425</v>
      </c>
      <c r="B26" s="5">
        <v>650</v>
      </c>
      <c r="C26" s="5">
        <v>425</v>
      </c>
      <c r="D26" s="196">
        <f t="shared" si="0"/>
        <v>648.06920521707934</v>
      </c>
      <c r="F26" s="83">
        <v>735</v>
      </c>
      <c r="G26" s="5">
        <v>250</v>
      </c>
      <c r="H26" s="5">
        <v>735</v>
      </c>
      <c r="I26" s="196">
        <f t="shared" si="1"/>
        <v>249.47850845564062</v>
      </c>
      <c r="K26" s="83">
        <v>600</v>
      </c>
      <c r="L26" s="5">
        <v>250</v>
      </c>
      <c r="M26" s="5">
        <v>600</v>
      </c>
      <c r="N26" s="196">
        <f t="shared" si="2"/>
        <v>257.87770646342005</v>
      </c>
      <c r="P26" s="83"/>
      <c r="Q26" s="5"/>
      <c r="R26" s="5"/>
      <c r="S26" s="85"/>
    </row>
    <row r="27" spans="1:19" x14ac:dyDescent="0.2">
      <c r="A27" s="83">
        <v>475</v>
      </c>
      <c r="B27" s="5">
        <v>600</v>
      </c>
      <c r="C27" s="5">
        <v>475</v>
      </c>
      <c r="D27" s="196">
        <f t="shared" si="0"/>
        <v>597.18347715415166</v>
      </c>
      <c r="F27" s="83">
        <v>810</v>
      </c>
      <c r="G27" s="5">
        <v>200</v>
      </c>
      <c r="H27" s="5">
        <v>810</v>
      </c>
      <c r="I27" s="196">
        <f t="shared" si="1"/>
        <v>205.57992690428273</v>
      </c>
      <c r="K27" s="83">
        <v>670</v>
      </c>
      <c r="L27" s="5">
        <v>200</v>
      </c>
      <c r="M27" s="5">
        <v>670</v>
      </c>
      <c r="N27" s="196">
        <f t="shared" si="2"/>
        <v>209.08179558334768</v>
      </c>
      <c r="P27" s="83"/>
      <c r="Q27" s="5"/>
      <c r="R27" s="5"/>
      <c r="S27" s="85"/>
    </row>
    <row r="28" spans="1:19" x14ac:dyDescent="0.2">
      <c r="A28" s="83">
        <v>525</v>
      </c>
      <c r="B28" s="5">
        <v>550</v>
      </c>
      <c r="C28" s="5">
        <v>525</v>
      </c>
      <c r="D28" s="196">
        <f t="shared" si="0"/>
        <v>551.3952948643323</v>
      </c>
      <c r="F28" s="83">
        <v>900</v>
      </c>
      <c r="G28" s="5">
        <v>150</v>
      </c>
      <c r="H28" s="5">
        <v>900</v>
      </c>
      <c r="I28" s="196">
        <f t="shared" si="1"/>
        <v>157.97804593007641</v>
      </c>
      <c r="K28" s="83">
        <v>740</v>
      </c>
      <c r="L28" s="5">
        <v>150</v>
      </c>
      <c r="M28" s="5">
        <v>740</v>
      </c>
      <c r="N28" s="196">
        <f t="shared" si="2"/>
        <v>165.13928766314939</v>
      </c>
      <c r="P28" s="83"/>
      <c r="Q28" s="5"/>
      <c r="R28" s="5"/>
      <c r="S28" s="85"/>
    </row>
    <row r="29" spans="1:19" x14ac:dyDescent="0.2">
      <c r="A29" s="83">
        <v>590</v>
      </c>
      <c r="B29" s="5">
        <v>500</v>
      </c>
      <c r="C29" s="5">
        <v>590</v>
      </c>
      <c r="D29" s="196">
        <f t="shared" si="0"/>
        <v>497.99393936835759</v>
      </c>
      <c r="F29" s="83">
        <v>1015</v>
      </c>
      <c r="G29" s="5">
        <v>100</v>
      </c>
      <c r="H29" s="5">
        <v>1015</v>
      </c>
      <c r="I29" s="196">
        <f t="shared" si="1"/>
        <v>103.64948983119393</v>
      </c>
      <c r="K29" s="83">
        <v>835</v>
      </c>
      <c r="L29" s="5">
        <v>100</v>
      </c>
      <c r="M29" s="5">
        <v>835</v>
      </c>
      <c r="N29" s="196">
        <f t="shared" si="2"/>
        <v>111.72969127095166</v>
      </c>
      <c r="P29" s="83"/>
      <c r="Q29" s="5"/>
      <c r="R29" s="5"/>
      <c r="S29" s="85"/>
    </row>
    <row r="30" spans="1:19" x14ac:dyDescent="0.2">
      <c r="A30" s="83">
        <v>660</v>
      </c>
      <c r="B30" s="5">
        <v>450</v>
      </c>
      <c r="C30" s="5">
        <v>660</v>
      </c>
      <c r="D30" s="196">
        <f t="shared" si="0"/>
        <v>446.7002754781347</v>
      </c>
      <c r="F30" s="83"/>
      <c r="G30" s="5"/>
      <c r="H30" s="5"/>
      <c r="I30" s="85"/>
      <c r="K30" s="83"/>
      <c r="L30" s="5"/>
      <c r="M30" s="5"/>
      <c r="N30" s="85"/>
      <c r="P30" s="83"/>
      <c r="Q30" s="5"/>
      <c r="R30" s="5"/>
      <c r="S30" s="85"/>
    </row>
    <row r="31" spans="1:19" x14ac:dyDescent="0.2">
      <c r="A31" s="83">
        <v>735</v>
      </c>
      <c r="B31" s="5">
        <v>400</v>
      </c>
      <c r="C31" s="5">
        <v>735</v>
      </c>
      <c r="D31" s="196">
        <f t="shared" si="0"/>
        <v>397.45924661012759</v>
      </c>
      <c r="F31" s="83"/>
      <c r="G31" s="5"/>
      <c r="H31" s="5"/>
      <c r="I31" s="85"/>
      <c r="K31" s="83"/>
      <c r="L31" s="5"/>
      <c r="M31" s="5"/>
      <c r="N31" s="85"/>
      <c r="P31" s="83"/>
      <c r="Q31" s="5"/>
      <c r="R31" s="5"/>
      <c r="S31" s="85"/>
    </row>
    <row r="32" spans="1:19" x14ac:dyDescent="0.2">
      <c r="A32" s="83">
        <v>825</v>
      </c>
      <c r="B32" s="5">
        <v>350</v>
      </c>
      <c r="C32" s="5">
        <v>825</v>
      </c>
      <c r="D32" s="196">
        <f t="shared" si="0"/>
        <v>344.61210075188364</v>
      </c>
      <c r="F32" s="83"/>
      <c r="G32" s="5"/>
      <c r="H32" s="5"/>
      <c r="I32" s="85"/>
      <c r="K32" s="83"/>
      <c r="L32" s="5"/>
      <c r="M32" s="5"/>
      <c r="N32" s="85"/>
      <c r="P32" s="83"/>
      <c r="Q32" s="5"/>
      <c r="R32" s="5"/>
      <c r="S32" s="85"/>
    </row>
    <row r="33" spans="1:19" x14ac:dyDescent="0.2">
      <c r="A33" s="83">
        <v>915</v>
      </c>
      <c r="B33" s="5">
        <v>300</v>
      </c>
      <c r="C33" s="5">
        <v>915</v>
      </c>
      <c r="D33" s="196">
        <f t="shared" si="0"/>
        <v>297.24224013644925</v>
      </c>
      <c r="F33" s="83"/>
      <c r="G33" s="5"/>
      <c r="H33" s="5"/>
      <c r="I33" s="85"/>
      <c r="K33" s="83"/>
      <c r="L33" s="5"/>
      <c r="M33" s="5"/>
      <c r="N33" s="85"/>
      <c r="P33" s="83"/>
      <c r="Q33" s="5"/>
      <c r="R33" s="5"/>
      <c r="S33" s="85"/>
    </row>
    <row r="34" spans="1:19" x14ac:dyDescent="0.2">
      <c r="A34" s="83">
        <v>1025</v>
      </c>
      <c r="B34" s="5">
        <v>250</v>
      </c>
      <c r="C34" s="5">
        <v>1025</v>
      </c>
      <c r="D34" s="196">
        <f t="shared" si="0"/>
        <v>245.30508960557745</v>
      </c>
      <c r="F34" s="83"/>
      <c r="G34" s="5"/>
      <c r="H34" s="5"/>
      <c r="I34" s="85"/>
      <c r="K34" s="83"/>
      <c r="L34" s="5"/>
      <c r="M34" s="5"/>
      <c r="N34" s="85"/>
      <c r="P34" s="83"/>
      <c r="Q34" s="5"/>
      <c r="R34" s="5"/>
      <c r="S34" s="85"/>
    </row>
    <row r="35" spans="1:19" x14ac:dyDescent="0.2">
      <c r="A35" s="83">
        <v>1140</v>
      </c>
      <c r="B35" s="5">
        <v>200</v>
      </c>
      <c r="C35" s="5">
        <v>1140</v>
      </c>
      <c r="D35" s="196">
        <f t="shared" si="0"/>
        <v>196.6565298147425</v>
      </c>
      <c r="F35" s="83"/>
      <c r="G35" s="5"/>
      <c r="H35" s="5"/>
      <c r="I35" s="85"/>
      <c r="K35" s="83"/>
      <c r="L35" s="5"/>
      <c r="M35" s="5"/>
      <c r="N35" s="85"/>
      <c r="P35" s="83"/>
      <c r="Q35" s="5"/>
      <c r="R35" s="5"/>
      <c r="S35" s="85"/>
    </row>
    <row r="36" spans="1:19" x14ac:dyDescent="0.2">
      <c r="A36" s="83">
        <v>1250</v>
      </c>
      <c r="B36" s="5">
        <v>150</v>
      </c>
      <c r="C36" s="5">
        <v>1250</v>
      </c>
      <c r="D36" s="196">
        <f t="shared" si="0"/>
        <v>154.51378513942154</v>
      </c>
      <c r="F36" s="83"/>
      <c r="G36" s="5"/>
      <c r="H36" s="5"/>
      <c r="I36" s="85"/>
      <c r="K36" s="83"/>
      <c r="L36" s="5"/>
      <c r="M36" s="5"/>
      <c r="N36" s="85"/>
      <c r="P36" s="83"/>
      <c r="Q36" s="5"/>
      <c r="R36" s="5"/>
      <c r="S36" s="85"/>
    </row>
    <row r="37" spans="1:19" x14ac:dyDescent="0.2">
      <c r="A37" s="83">
        <v>1425</v>
      </c>
      <c r="B37" s="5">
        <v>100</v>
      </c>
      <c r="C37" s="5">
        <v>1425</v>
      </c>
      <c r="D37" s="196">
        <f t="shared" si="0"/>
        <v>94.568355088491444</v>
      </c>
      <c r="F37" s="83"/>
      <c r="G37" s="5"/>
      <c r="H37" s="5"/>
      <c r="I37" s="85"/>
      <c r="K37" s="83"/>
      <c r="L37" s="5"/>
      <c r="M37" s="5"/>
      <c r="N37" s="85"/>
      <c r="P37" s="83"/>
      <c r="Q37" s="5"/>
      <c r="R37" s="5"/>
      <c r="S37" s="85"/>
    </row>
    <row r="38" spans="1:19" x14ac:dyDescent="0.2">
      <c r="A38" s="83"/>
      <c r="B38" s="5"/>
      <c r="C38" s="5"/>
      <c r="D38" s="85"/>
      <c r="F38" s="83"/>
      <c r="G38" s="5"/>
      <c r="H38" s="5"/>
      <c r="I38" s="85"/>
      <c r="K38" s="83"/>
      <c r="L38" s="5"/>
      <c r="M38" s="5"/>
      <c r="N38" s="85"/>
      <c r="P38" s="83"/>
      <c r="Q38" s="5"/>
      <c r="R38" s="5"/>
      <c r="S38" s="85"/>
    </row>
    <row r="39" spans="1:19" x14ac:dyDescent="0.2">
      <c r="A39" s="381" t="s">
        <v>309</v>
      </c>
      <c r="B39" s="382"/>
      <c r="C39" s="379" t="s">
        <v>332</v>
      </c>
      <c r="D39" s="380"/>
      <c r="F39" s="381" t="s">
        <v>310</v>
      </c>
      <c r="G39" s="382"/>
      <c r="H39" s="379" t="s">
        <v>332</v>
      </c>
      <c r="I39" s="380"/>
      <c r="K39" s="381" t="s">
        <v>311</v>
      </c>
      <c r="L39" s="382"/>
      <c r="M39" s="379" t="s">
        <v>332</v>
      </c>
      <c r="N39" s="380"/>
      <c r="P39" s="381" t="s">
        <v>312</v>
      </c>
      <c r="Q39" s="382"/>
      <c r="R39" s="379" t="s">
        <v>332</v>
      </c>
      <c r="S39" s="380"/>
    </row>
    <row r="40" spans="1:19" x14ac:dyDescent="0.2">
      <c r="A40" s="83" t="s">
        <v>34</v>
      </c>
      <c r="B40" s="5" t="s">
        <v>308</v>
      </c>
      <c r="C40" s="5" t="s">
        <v>34</v>
      </c>
      <c r="D40" s="85" t="s">
        <v>308</v>
      </c>
      <c r="F40" s="83" t="s">
        <v>34</v>
      </c>
      <c r="G40" s="5" t="s">
        <v>308</v>
      </c>
      <c r="H40" s="5" t="s">
        <v>34</v>
      </c>
      <c r="I40" s="85" t="s">
        <v>308</v>
      </c>
      <c r="K40" s="83" t="s">
        <v>34</v>
      </c>
      <c r="L40" s="5" t="s">
        <v>308</v>
      </c>
      <c r="M40" s="5" t="s">
        <v>34</v>
      </c>
      <c r="N40" s="85" t="s">
        <v>308</v>
      </c>
      <c r="P40" s="83" t="s">
        <v>34</v>
      </c>
      <c r="Q40" s="5" t="s">
        <v>308</v>
      </c>
      <c r="R40" s="5" t="s">
        <v>34</v>
      </c>
      <c r="S40" s="85" t="s">
        <v>308</v>
      </c>
    </row>
    <row r="41" spans="1:19" x14ac:dyDescent="0.2">
      <c r="A41" s="83">
        <v>25</v>
      </c>
      <c r="B41" s="5">
        <v>1400</v>
      </c>
      <c r="C41" s="5">
        <v>25</v>
      </c>
      <c r="D41" s="196">
        <f>-458.7*LN(C41)+2932.6</f>
        <v>1456.1016591329565</v>
      </c>
      <c r="F41" s="83">
        <v>40</v>
      </c>
      <c r="G41" s="5">
        <v>1200</v>
      </c>
      <c r="H41" s="5">
        <v>40</v>
      </c>
      <c r="I41" s="196">
        <f>-480.8*LN(H41)+2970.7</f>
        <v>1197.0867584620191</v>
      </c>
      <c r="K41" s="83">
        <v>85</v>
      </c>
      <c r="L41" s="5">
        <v>800</v>
      </c>
      <c r="M41" s="5">
        <v>85</v>
      </c>
      <c r="N41" s="196">
        <f>-477.7*LN(M41)+2896.1</f>
        <v>773.84549477457585</v>
      </c>
      <c r="P41" s="83">
        <v>5</v>
      </c>
      <c r="Q41" s="5">
        <v>1800</v>
      </c>
      <c r="R41" s="5">
        <v>5</v>
      </c>
      <c r="S41" s="196">
        <f>1608.8*EXP(-0.01*R41)</f>
        <v>1530.3378981367487</v>
      </c>
    </row>
    <row r="42" spans="1:19" x14ac:dyDescent="0.2">
      <c r="A42" s="83">
        <v>30</v>
      </c>
      <c r="B42" s="5">
        <v>1350</v>
      </c>
      <c r="C42" s="5">
        <v>30</v>
      </c>
      <c r="D42" s="196">
        <f t="shared" ref="D42:D67" si="4">-458.7*LN(C42)+2932.6</f>
        <v>1372.4707610315693</v>
      </c>
      <c r="F42" s="83">
        <v>45</v>
      </c>
      <c r="G42" s="5">
        <v>1150</v>
      </c>
      <c r="H42" s="5">
        <v>45</v>
      </c>
      <c r="I42" s="196">
        <f t="shared" ref="I42:I63" si="5">-480.8*LN(H42)+2970.7</f>
        <v>1140.4566749184301</v>
      </c>
      <c r="K42" s="83">
        <v>90</v>
      </c>
      <c r="L42" s="5">
        <v>750</v>
      </c>
      <c r="M42" s="5">
        <v>90</v>
      </c>
      <c r="N42" s="196">
        <f t="shared" ref="N42:N55" si="6">-477.7*LN(M42)+2896.1</f>
        <v>746.54092048323218</v>
      </c>
      <c r="P42" s="83">
        <v>5</v>
      </c>
      <c r="Q42" s="5">
        <v>1750</v>
      </c>
      <c r="R42" s="5">
        <v>5</v>
      </c>
      <c r="S42" s="196">
        <f t="shared" ref="S42:S75" si="7">1608.8*EXP(-0.01*R42)</f>
        <v>1530.3378981367487</v>
      </c>
    </row>
    <row r="43" spans="1:19" x14ac:dyDescent="0.2">
      <c r="A43" s="83">
        <v>35</v>
      </c>
      <c r="B43" s="5">
        <v>1300</v>
      </c>
      <c r="C43" s="5">
        <v>35</v>
      </c>
      <c r="D43" s="196">
        <f t="shared" si="4"/>
        <v>1301.7618441948059</v>
      </c>
      <c r="F43" s="83">
        <v>50</v>
      </c>
      <c r="G43" s="5">
        <v>1100</v>
      </c>
      <c r="H43" s="5">
        <v>50</v>
      </c>
      <c r="I43" s="196">
        <f t="shared" si="5"/>
        <v>1089.7993389901471</v>
      </c>
      <c r="K43" s="83">
        <v>100</v>
      </c>
      <c r="L43" s="5">
        <v>700</v>
      </c>
      <c r="M43" s="5">
        <v>100</v>
      </c>
      <c r="N43" s="196">
        <f t="shared" si="6"/>
        <v>696.21020215348835</v>
      </c>
      <c r="P43" s="83">
        <v>5</v>
      </c>
      <c r="Q43" s="5">
        <v>1700</v>
      </c>
      <c r="R43" s="5">
        <v>5</v>
      </c>
      <c r="S43" s="196">
        <f t="shared" si="7"/>
        <v>1530.3378981367487</v>
      </c>
    </row>
    <row r="44" spans="1:19" x14ac:dyDescent="0.2">
      <c r="A44" s="83">
        <v>40</v>
      </c>
      <c r="B44" s="5">
        <v>1250</v>
      </c>
      <c r="C44" s="5">
        <v>40</v>
      </c>
      <c r="D44" s="196">
        <f t="shared" si="4"/>
        <v>1240.5109943979373</v>
      </c>
      <c r="F44" s="83">
        <v>55</v>
      </c>
      <c r="G44" s="5">
        <v>1050</v>
      </c>
      <c r="H44" s="5">
        <v>55</v>
      </c>
      <c r="I44" s="196">
        <f t="shared" si="5"/>
        <v>1043.9742045402277</v>
      </c>
      <c r="K44" s="83">
        <v>110</v>
      </c>
      <c r="L44" s="5">
        <v>650</v>
      </c>
      <c r="M44" s="5">
        <v>110</v>
      </c>
      <c r="N44" s="196">
        <f t="shared" si="6"/>
        <v>650.68052926096243</v>
      </c>
      <c r="P44" s="83">
        <v>6</v>
      </c>
      <c r="Q44" s="5">
        <v>1650</v>
      </c>
      <c r="R44" s="5">
        <v>6</v>
      </c>
      <c r="S44" s="196">
        <f t="shared" si="7"/>
        <v>1515.1107816303393</v>
      </c>
    </row>
    <row r="45" spans="1:19" x14ac:dyDescent="0.2">
      <c r="A45" s="83">
        <v>45</v>
      </c>
      <c r="B45" s="5">
        <v>1200</v>
      </c>
      <c r="C45" s="5">
        <v>45</v>
      </c>
      <c r="D45" s="196">
        <f t="shared" si="4"/>
        <v>1186.4839159423543</v>
      </c>
      <c r="F45" s="83">
        <v>60</v>
      </c>
      <c r="G45" s="5">
        <v>1000</v>
      </c>
      <c r="H45" s="5">
        <v>60</v>
      </c>
      <c r="I45" s="196">
        <f t="shared" si="5"/>
        <v>1002.1391344836138</v>
      </c>
      <c r="K45" s="83">
        <v>120</v>
      </c>
      <c r="L45" s="5">
        <v>600</v>
      </c>
      <c r="M45" s="5">
        <v>120</v>
      </c>
      <c r="N45" s="196">
        <f t="shared" si="6"/>
        <v>609.1151944730168</v>
      </c>
      <c r="P45" s="83">
        <v>7</v>
      </c>
      <c r="Q45" s="5">
        <v>1600</v>
      </c>
      <c r="R45" s="5">
        <v>7</v>
      </c>
      <c r="S45" s="196">
        <f t="shared" si="7"/>
        <v>1500.0351774646895</v>
      </c>
    </row>
    <row r="46" spans="1:19" x14ac:dyDescent="0.2">
      <c r="A46" s="83">
        <v>50</v>
      </c>
      <c r="B46" s="5">
        <v>1150</v>
      </c>
      <c r="C46" s="5">
        <v>50</v>
      </c>
      <c r="D46" s="196">
        <f t="shared" si="4"/>
        <v>1138.1550474101093</v>
      </c>
      <c r="F46" s="83">
        <v>65</v>
      </c>
      <c r="G46" s="5">
        <v>950</v>
      </c>
      <c r="H46" s="5">
        <v>65</v>
      </c>
      <c r="I46" s="196">
        <f t="shared" si="5"/>
        <v>963.65460063417754</v>
      </c>
      <c r="K46" s="83">
        <v>135</v>
      </c>
      <c r="L46" s="5">
        <v>550</v>
      </c>
      <c r="M46" s="5">
        <v>135</v>
      </c>
      <c r="N46" s="196">
        <f t="shared" si="6"/>
        <v>552.85023833996229</v>
      </c>
      <c r="P46" s="83">
        <v>8</v>
      </c>
      <c r="Q46" s="5">
        <v>1550</v>
      </c>
      <c r="R46" s="5">
        <v>8</v>
      </c>
      <c r="S46" s="196">
        <f t="shared" si="7"/>
        <v>1485.1095780668195</v>
      </c>
    </row>
    <row r="47" spans="1:19" x14ac:dyDescent="0.2">
      <c r="A47" s="83">
        <v>55</v>
      </c>
      <c r="B47" s="5">
        <v>1100</v>
      </c>
      <c r="C47" s="5">
        <v>55</v>
      </c>
      <c r="D47" s="196">
        <f t="shared" si="4"/>
        <v>1094.4362679338653</v>
      </c>
      <c r="F47" s="83">
        <v>75</v>
      </c>
      <c r="G47" s="5">
        <v>900</v>
      </c>
      <c r="H47" s="5">
        <v>75</v>
      </c>
      <c r="I47" s="196">
        <f t="shared" si="5"/>
        <v>894.85171501174182</v>
      </c>
      <c r="K47" s="83">
        <v>145</v>
      </c>
      <c r="L47" s="5">
        <v>500</v>
      </c>
      <c r="M47" s="5">
        <v>145</v>
      </c>
      <c r="N47" s="196">
        <f t="shared" si="6"/>
        <v>518.71429124569158</v>
      </c>
      <c r="P47" s="83">
        <v>9</v>
      </c>
      <c r="Q47" s="5">
        <v>1500</v>
      </c>
      <c r="R47" s="5">
        <v>9</v>
      </c>
      <c r="S47" s="196">
        <f t="shared" si="7"/>
        <v>1470.3324908643519</v>
      </c>
    </row>
    <row r="48" spans="1:19" x14ac:dyDescent="0.2">
      <c r="A48" s="83">
        <v>60</v>
      </c>
      <c r="B48" s="5">
        <v>1050</v>
      </c>
      <c r="C48" s="5">
        <v>60</v>
      </c>
      <c r="D48" s="196">
        <f t="shared" si="4"/>
        <v>1054.5241493087226</v>
      </c>
      <c r="F48" s="83">
        <v>85</v>
      </c>
      <c r="G48" s="5">
        <v>850</v>
      </c>
      <c r="H48" s="5">
        <v>85</v>
      </c>
      <c r="I48" s="196">
        <f t="shared" si="5"/>
        <v>834.67327587945556</v>
      </c>
      <c r="K48" s="83">
        <v>160</v>
      </c>
      <c r="L48" s="5">
        <v>450</v>
      </c>
      <c r="M48" s="5">
        <v>160</v>
      </c>
      <c r="N48" s="196">
        <f t="shared" si="6"/>
        <v>471.68946846280096</v>
      </c>
      <c r="P48" s="83">
        <v>10</v>
      </c>
      <c r="Q48" s="5">
        <v>1450</v>
      </c>
      <c r="R48" s="5">
        <v>10</v>
      </c>
      <c r="S48" s="196">
        <f t="shared" si="7"/>
        <v>1455.7024381362517</v>
      </c>
    </row>
    <row r="49" spans="1:19" x14ac:dyDescent="0.2">
      <c r="A49" s="83">
        <v>70</v>
      </c>
      <c r="B49" s="5">
        <v>1000</v>
      </c>
      <c r="C49" s="5">
        <v>70</v>
      </c>
      <c r="D49" s="196">
        <f t="shared" si="4"/>
        <v>983.81523247195878</v>
      </c>
      <c r="F49" s="83">
        <v>90</v>
      </c>
      <c r="G49" s="5">
        <v>800</v>
      </c>
      <c r="H49" s="5">
        <v>90</v>
      </c>
      <c r="I49" s="196">
        <f t="shared" si="5"/>
        <v>807.1915105052085</v>
      </c>
      <c r="K49" s="83">
        <v>185</v>
      </c>
      <c r="L49" s="5">
        <v>400</v>
      </c>
      <c r="M49" s="5">
        <v>185</v>
      </c>
      <c r="N49" s="196">
        <f t="shared" si="6"/>
        <v>402.33602236008437</v>
      </c>
      <c r="P49" s="83">
        <v>12</v>
      </c>
      <c r="Q49" s="5">
        <v>1400</v>
      </c>
      <c r="R49" s="5">
        <v>12</v>
      </c>
      <c r="S49" s="196">
        <f t="shared" si="7"/>
        <v>1426.8775985905629</v>
      </c>
    </row>
    <row r="50" spans="1:19" x14ac:dyDescent="0.2">
      <c r="A50" s="83">
        <v>80</v>
      </c>
      <c r="B50" s="5">
        <v>950</v>
      </c>
      <c r="C50" s="5">
        <v>80</v>
      </c>
      <c r="D50" s="196">
        <f t="shared" si="4"/>
        <v>922.56438267509066</v>
      </c>
      <c r="F50" s="83">
        <v>100</v>
      </c>
      <c r="G50" s="5">
        <v>750</v>
      </c>
      <c r="H50" s="5">
        <v>100</v>
      </c>
      <c r="I50" s="196">
        <f t="shared" si="5"/>
        <v>756.53417457692512</v>
      </c>
      <c r="K50" s="83">
        <v>205</v>
      </c>
      <c r="L50" s="5">
        <v>350</v>
      </c>
      <c r="M50" s="5">
        <v>205</v>
      </c>
      <c r="N50" s="196">
        <f t="shared" si="6"/>
        <v>353.29813296558223</v>
      </c>
      <c r="P50" s="83">
        <v>15</v>
      </c>
      <c r="Q50" s="5">
        <v>1350</v>
      </c>
      <c r="R50" s="5">
        <v>15</v>
      </c>
      <c r="S50" s="196">
        <f t="shared" si="7"/>
        <v>1384.7069924726329</v>
      </c>
    </row>
    <row r="51" spans="1:19" x14ac:dyDescent="0.2">
      <c r="A51" s="83">
        <v>90</v>
      </c>
      <c r="B51" s="5">
        <v>900</v>
      </c>
      <c r="C51" s="5">
        <v>90</v>
      </c>
      <c r="D51" s="196">
        <f t="shared" si="4"/>
        <v>868.5373042195074</v>
      </c>
      <c r="F51" s="83">
        <v>110</v>
      </c>
      <c r="G51" s="5">
        <v>700</v>
      </c>
      <c r="H51" s="5">
        <v>110</v>
      </c>
      <c r="I51" s="196">
        <f t="shared" si="5"/>
        <v>710.70904012700566</v>
      </c>
      <c r="K51" s="83">
        <v>230</v>
      </c>
      <c r="L51" s="5">
        <v>300</v>
      </c>
      <c r="M51" s="5">
        <v>230</v>
      </c>
      <c r="N51" s="196">
        <f t="shared" si="6"/>
        <v>298.3295141273893</v>
      </c>
      <c r="P51" s="83">
        <v>17</v>
      </c>
      <c r="Q51" s="5">
        <v>1300</v>
      </c>
      <c r="R51" s="5">
        <v>17</v>
      </c>
      <c r="S51" s="196">
        <f t="shared" si="7"/>
        <v>1357.2879569402621</v>
      </c>
    </row>
    <row r="52" spans="1:19" x14ac:dyDescent="0.2">
      <c r="A52" s="83">
        <v>100</v>
      </c>
      <c r="B52" s="5">
        <v>850</v>
      </c>
      <c r="C52" s="5">
        <v>100</v>
      </c>
      <c r="D52" s="196">
        <f t="shared" si="4"/>
        <v>820.20843568726241</v>
      </c>
      <c r="F52" s="83">
        <v>125</v>
      </c>
      <c r="G52" s="5">
        <v>650</v>
      </c>
      <c r="H52" s="5">
        <v>125</v>
      </c>
      <c r="I52" s="196">
        <f t="shared" si="5"/>
        <v>649.24675510505313</v>
      </c>
      <c r="K52" s="83">
        <v>260</v>
      </c>
      <c r="L52" s="5">
        <v>250</v>
      </c>
      <c r="M52" s="5">
        <v>260</v>
      </c>
      <c r="N52" s="196">
        <f t="shared" si="6"/>
        <v>239.76238486388229</v>
      </c>
      <c r="P52" s="83">
        <v>20</v>
      </c>
      <c r="Q52" s="5">
        <v>1250</v>
      </c>
      <c r="R52" s="5">
        <v>20</v>
      </c>
      <c r="S52" s="196">
        <f t="shared" si="7"/>
        <v>1317.1740355518571</v>
      </c>
    </row>
    <row r="53" spans="1:19" x14ac:dyDescent="0.2">
      <c r="A53" s="83">
        <v>110</v>
      </c>
      <c r="B53" s="5">
        <v>800</v>
      </c>
      <c r="C53" s="5">
        <v>110</v>
      </c>
      <c r="D53" s="196">
        <f t="shared" si="4"/>
        <v>776.48965621101843</v>
      </c>
      <c r="F53" s="83">
        <v>135</v>
      </c>
      <c r="G53" s="5">
        <v>600</v>
      </c>
      <c r="H53" s="5">
        <v>135</v>
      </c>
      <c r="I53" s="196">
        <f t="shared" si="5"/>
        <v>612.24388652680273</v>
      </c>
      <c r="K53" s="83">
        <v>285</v>
      </c>
      <c r="L53" s="5">
        <v>200</v>
      </c>
      <c r="M53" s="5">
        <v>285</v>
      </c>
      <c r="N53" s="196">
        <f t="shared" si="6"/>
        <v>195.9059185856654</v>
      </c>
      <c r="P53" s="83">
        <v>25</v>
      </c>
      <c r="Q53" s="5">
        <v>1200</v>
      </c>
      <c r="R53" s="5">
        <v>25</v>
      </c>
      <c r="S53" s="196">
        <f t="shared" si="7"/>
        <v>1252.9346998052761</v>
      </c>
    </row>
    <row r="54" spans="1:19" x14ac:dyDescent="0.2">
      <c r="A54" s="83">
        <v>120</v>
      </c>
      <c r="B54" s="5">
        <v>750</v>
      </c>
      <c r="C54" s="5">
        <v>120</v>
      </c>
      <c r="D54" s="196">
        <f t="shared" si="4"/>
        <v>736.57753758587569</v>
      </c>
      <c r="F54" s="83">
        <v>150</v>
      </c>
      <c r="G54" s="5">
        <v>550</v>
      </c>
      <c r="H54" s="5">
        <v>150</v>
      </c>
      <c r="I54" s="196">
        <f t="shared" si="5"/>
        <v>561.58655059852026</v>
      </c>
      <c r="K54" s="83">
        <v>315</v>
      </c>
      <c r="L54" s="5">
        <v>150</v>
      </c>
      <c r="M54" s="5">
        <v>315</v>
      </c>
      <c r="N54" s="196">
        <f t="shared" si="6"/>
        <v>148.09605043299507</v>
      </c>
      <c r="P54" s="83">
        <v>30</v>
      </c>
      <c r="Q54" s="5">
        <v>1150</v>
      </c>
      <c r="R54" s="5">
        <v>30</v>
      </c>
      <c r="S54" s="196">
        <f t="shared" si="7"/>
        <v>1191.8283534327477</v>
      </c>
    </row>
    <row r="55" spans="1:19" x14ac:dyDescent="0.2">
      <c r="A55" s="83">
        <v>125</v>
      </c>
      <c r="B55" s="5">
        <v>700</v>
      </c>
      <c r="C55" s="5">
        <v>125</v>
      </c>
      <c r="D55" s="196">
        <f t="shared" si="4"/>
        <v>717.85248869943416</v>
      </c>
      <c r="F55" s="83">
        <v>170</v>
      </c>
      <c r="G55" s="5">
        <v>500</v>
      </c>
      <c r="H55" s="5">
        <v>170</v>
      </c>
      <c r="I55" s="196">
        <f t="shared" si="5"/>
        <v>501.40811146623355</v>
      </c>
      <c r="K55" s="83">
        <v>355</v>
      </c>
      <c r="L55" s="5">
        <v>100</v>
      </c>
      <c r="M55" s="5">
        <v>355</v>
      </c>
      <c r="N55" s="196">
        <f t="shared" si="6"/>
        <v>90.989331967593898</v>
      </c>
      <c r="P55" s="83">
        <v>35</v>
      </c>
      <c r="Q55" s="5">
        <v>1100</v>
      </c>
      <c r="R55" s="5">
        <v>35</v>
      </c>
      <c r="S55" s="196">
        <f t="shared" si="7"/>
        <v>1133.7021987394662</v>
      </c>
    </row>
    <row r="56" spans="1:19" x14ac:dyDescent="0.2">
      <c r="A56" s="83">
        <v>140</v>
      </c>
      <c r="B56" s="5">
        <v>650</v>
      </c>
      <c r="C56" s="5">
        <v>140</v>
      </c>
      <c r="D56" s="196">
        <f t="shared" si="4"/>
        <v>665.86862074911232</v>
      </c>
      <c r="F56" s="83">
        <v>185</v>
      </c>
      <c r="G56" s="5">
        <v>450</v>
      </c>
      <c r="H56" s="5">
        <v>185</v>
      </c>
      <c r="I56" s="196">
        <f t="shared" si="5"/>
        <v>460.75291930234152</v>
      </c>
      <c r="K56" s="83"/>
      <c r="L56" s="5"/>
      <c r="M56" s="5"/>
      <c r="N56" s="85"/>
      <c r="P56" s="83">
        <v>40</v>
      </c>
      <c r="Q56" s="5">
        <v>1050</v>
      </c>
      <c r="R56" s="5">
        <v>40</v>
      </c>
      <c r="S56" s="196">
        <f t="shared" si="7"/>
        <v>1078.4108900621366</v>
      </c>
    </row>
    <row r="57" spans="1:19" x14ac:dyDescent="0.2">
      <c r="A57" s="83">
        <v>160</v>
      </c>
      <c r="B57" s="5">
        <v>600</v>
      </c>
      <c r="C57" s="5">
        <v>160</v>
      </c>
      <c r="D57" s="196">
        <f t="shared" si="4"/>
        <v>604.61777095224352</v>
      </c>
      <c r="F57" s="83">
        <v>205</v>
      </c>
      <c r="G57" s="5">
        <v>400</v>
      </c>
      <c r="H57" s="5">
        <v>205</v>
      </c>
      <c r="I57" s="196">
        <f t="shared" si="5"/>
        <v>411.39680203025318</v>
      </c>
      <c r="K57" s="83"/>
      <c r="L57" s="5"/>
      <c r="M57" s="5"/>
      <c r="N57" s="85"/>
      <c r="P57" s="83">
        <v>45</v>
      </c>
      <c r="Q57" s="5">
        <v>1000</v>
      </c>
      <c r="R57" s="5">
        <v>45</v>
      </c>
      <c r="S57" s="196">
        <f t="shared" si="7"/>
        <v>1025.8161703291089</v>
      </c>
    </row>
    <row r="58" spans="1:19" x14ac:dyDescent="0.2">
      <c r="A58" s="83">
        <v>175</v>
      </c>
      <c r="B58" s="5">
        <v>550</v>
      </c>
      <c r="C58" s="5">
        <v>175</v>
      </c>
      <c r="D58" s="196">
        <f t="shared" si="4"/>
        <v>563.51267376128408</v>
      </c>
      <c r="F58" s="83">
        <v>235</v>
      </c>
      <c r="G58" s="5">
        <v>350</v>
      </c>
      <c r="H58" s="5">
        <v>235</v>
      </c>
      <c r="I58" s="196">
        <f t="shared" si="5"/>
        <v>345.73128479948809</v>
      </c>
      <c r="K58" s="83"/>
      <c r="L58" s="5"/>
      <c r="M58" s="5"/>
      <c r="N58" s="85"/>
      <c r="P58" s="83">
        <v>50</v>
      </c>
      <c r="Q58" s="5">
        <v>950</v>
      </c>
      <c r="R58" s="5">
        <v>50</v>
      </c>
      <c r="S58" s="196">
        <f t="shared" si="7"/>
        <v>975.78652534568459</v>
      </c>
    </row>
    <row r="59" spans="1:19" x14ac:dyDescent="0.2">
      <c r="A59" s="83">
        <v>200</v>
      </c>
      <c r="B59" s="5">
        <v>500</v>
      </c>
      <c r="C59" s="5">
        <v>200</v>
      </c>
      <c r="D59" s="196">
        <f t="shared" si="4"/>
        <v>502.26182396441573</v>
      </c>
      <c r="F59" s="83">
        <v>260</v>
      </c>
      <c r="G59" s="5">
        <v>300</v>
      </c>
      <c r="H59" s="5">
        <v>260</v>
      </c>
      <c r="I59" s="196">
        <f t="shared" si="5"/>
        <v>297.1242718077342</v>
      </c>
      <c r="K59" s="83"/>
      <c r="L59" s="5"/>
      <c r="M59" s="5"/>
      <c r="N59" s="85"/>
      <c r="P59" s="83">
        <v>55</v>
      </c>
      <c r="Q59" s="5">
        <v>900</v>
      </c>
      <c r="R59" s="5">
        <v>55</v>
      </c>
      <c r="S59" s="196">
        <f t="shared" si="7"/>
        <v>928.19685494012685</v>
      </c>
    </row>
    <row r="60" spans="1:19" x14ac:dyDescent="0.2">
      <c r="A60" s="83">
        <v>220</v>
      </c>
      <c r="B60" s="5">
        <v>450</v>
      </c>
      <c r="C60" s="5">
        <v>220</v>
      </c>
      <c r="D60" s="196">
        <f t="shared" si="4"/>
        <v>458.54304448817174</v>
      </c>
      <c r="F60" s="83">
        <v>290</v>
      </c>
      <c r="G60" s="5">
        <v>250</v>
      </c>
      <c r="H60" s="5">
        <v>290</v>
      </c>
      <c r="I60" s="196">
        <f t="shared" si="5"/>
        <v>244.62125223096609</v>
      </c>
      <c r="K60" s="83"/>
      <c r="L60" s="5"/>
      <c r="M60" s="5"/>
      <c r="N60" s="85"/>
      <c r="P60" s="83">
        <v>60</v>
      </c>
      <c r="Q60" s="5">
        <v>850</v>
      </c>
      <c r="R60" s="5">
        <v>60</v>
      </c>
      <c r="S60" s="196">
        <f t="shared" si="7"/>
        <v>882.92816014806965</v>
      </c>
    </row>
    <row r="61" spans="1:19" x14ac:dyDescent="0.2">
      <c r="A61" s="83">
        <v>250</v>
      </c>
      <c r="B61" s="5">
        <v>400</v>
      </c>
      <c r="C61" s="5">
        <v>250</v>
      </c>
      <c r="D61" s="196">
        <f t="shared" si="4"/>
        <v>399.90587697658793</v>
      </c>
      <c r="F61" s="83">
        <v>325</v>
      </c>
      <c r="G61" s="5">
        <v>200</v>
      </c>
      <c r="H61" s="5">
        <v>325</v>
      </c>
      <c r="I61" s="196">
        <f t="shared" si="5"/>
        <v>189.8368523358622</v>
      </c>
      <c r="K61" s="83"/>
      <c r="L61" s="5"/>
      <c r="M61" s="5"/>
      <c r="N61" s="85"/>
      <c r="P61" s="83">
        <v>65</v>
      </c>
      <c r="Q61" s="5">
        <v>800</v>
      </c>
      <c r="R61" s="5">
        <v>65</v>
      </c>
      <c r="S61" s="196">
        <f t="shared" si="7"/>
        <v>839.86724565312261</v>
      </c>
    </row>
    <row r="62" spans="1:19" x14ac:dyDescent="0.2">
      <c r="A62" s="83">
        <v>275</v>
      </c>
      <c r="B62" s="5">
        <v>350</v>
      </c>
      <c r="C62" s="5">
        <v>275</v>
      </c>
      <c r="D62" s="196">
        <f t="shared" si="4"/>
        <v>356.1870975003435</v>
      </c>
      <c r="F62" s="83">
        <v>355</v>
      </c>
      <c r="G62" s="5">
        <v>150</v>
      </c>
      <c r="H62" s="5">
        <v>355</v>
      </c>
      <c r="I62" s="196">
        <f t="shared" si="5"/>
        <v>147.38576682021994</v>
      </c>
      <c r="K62" s="83"/>
      <c r="L62" s="5"/>
      <c r="M62" s="5"/>
      <c r="N62" s="85"/>
      <c r="P62" s="83">
        <v>75</v>
      </c>
      <c r="Q62" s="5">
        <v>750</v>
      </c>
      <c r="R62" s="5">
        <v>75</v>
      </c>
      <c r="S62" s="196">
        <f t="shared" si="7"/>
        <v>759.94331004974435</v>
      </c>
    </row>
    <row r="63" spans="1:19" x14ac:dyDescent="0.2">
      <c r="A63" s="83">
        <v>310</v>
      </c>
      <c r="B63" s="5">
        <v>300</v>
      </c>
      <c r="C63" s="5">
        <v>310</v>
      </c>
      <c r="D63" s="196">
        <f t="shared" si="4"/>
        <v>301.23428714629472</v>
      </c>
      <c r="F63" s="83">
        <v>400</v>
      </c>
      <c r="G63" s="5">
        <v>100</v>
      </c>
      <c r="H63" s="5">
        <v>400</v>
      </c>
      <c r="I63" s="196">
        <f t="shared" si="5"/>
        <v>90.003845750482014</v>
      </c>
      <c r="K63" s="83"/>
      <c r="L63" s="5"/>
      <c r="M63" s="5"/>
      <c r="N63" s="85"/>
      <c r="P63" s="83">
        <v>80</v>
      </c>
      <c r="Q63" s="5">
        <v>700</v>
      </c>
      <c r="R63" s="5">
        <v>80</v>
      </c>
      <c r="S63" s="196">
        <f t="shared" si="7"/>
        <v>722.88043747178608</v>
      </c>
    </row>
    <row r="64" spans="1:19" x14ac:dyDescent="0.2">
      <c r="A64" s="83">
        <v>350</v>
      </c>
      <c r="B64" s="5">
        <v>250</v>
      </c>
      <c r="C64" s="5">
        <v>350</v>
      </c>
      <c r="D64" s="196">
        <f t="shared" si="4"/>
        <v>245.56606203843739</v>
      </c>
      <c r="F64" s="83"/>
      <c r="G64" s="5"/>
      <c r="H64" s="5"/>
      <c r="I64" s="85"/>
      <c r="K64" s="83"/>
      <c r="L64" s="5"/>
      <c r="M64" s="5"/>
      <c r="N64" s="85"/>
      <c r="P64" s="83">
        <v>90</v>
      </c>
      <c r="Q64" s="5">
        <v>650</v>
      </c>
      <c r="R64" s="5">
        <v>90</v>
      </c>
      <c r="S64" s="196">
        <f t="shared" si="7"/>
        <v>654.08926859067583</v>
      </c>
    </row>
    <row r="65" spans="1:19" x14ac:dyDescent="0.2">
      <c r="A65" s="83">
        <v>375</v>
      </c>
      <c r="B65" s="5">
        <v>200</v>
      </c>
      <c r="C65" s="5">
        <v>375</v>
      </c>
      <c r="D65" s="196">
        <f t="shared" si="4"/>
        <v>213.91903188737251</v>
      </c>
      <c r="F65" s="83"/>
      <c r="G65" s="5"/>
      <c r="H65" s="5"/>
      <c r="I65" s="85"/>
      <c r="K65" s="83"/>
      <c r="L65" s="5"/>
      <c r="M65" s="5"/>
      <c r="N65" s="85"/>
      <c r="P65" s="83">
        <v>100</v>
      </c>
      <c r="Q65" s="5">
        <v>600</v>
      </c>
      <c r="R65" s="5">
        <v>100</v>
      </c>
      <c r="S65" s="196">
        <f t="shared" si="7"/>
        <v>591.84444495661637</v>
      </c>
    </row>
    <row r="66" spans="1:19" x14ac:dyDescent="0.2">
      <c r="A66" s="83">
        <v>425</v>
      </c>
      <c r="B66" s="5">
        <v>150</v>
      </c>
      <c r="C66" s="5">
        <v>425</v>
      </c>
      <c r="D66" s="196">
        <f t="shared" si="4"/>
        <v>156.50669821436986</v>
      </c>
      <c r="F66" s="83"/>
      <c r="G66" s="5"/>
      <c r="H66" s="5"/>
      <c r="I66" s="85"/>
      <c r="K66" s="83"/>
      <c r="L66" s="5"/>
      <c r="M66" s="5"/>
      <c r="N66" s="85"/>
      <c r="P66" s="83">
        <v>110</v>
      </c>
      <c r="Q66" s="5">
        <v>550</v>
      </c>
      <c r="R66" s="5">
        <v>110</v>
      </c>
      <c r="S66" s="196">
        <f t="shared" si="7"/>
        <v>535.52299945347033</v>
      </c>
    </row>
    <row r="67" spans="1:19" x14ac:dyDescent="0.2">
      <c r="A67" s="83">
        <v>475</v>
      </c>
      <c r="B67" s="5">
        <v>100</v>
      </c>
      <c r="C67" s="5">
        <v>475</v>
      </c>
      <c r="D67" s="196">
        <f t="shared" si="4"/>
        <v>105.48749938930996</v>
      </c>
      <c r="F67" s="83"/>
      <c r="G67" s="5"/>
      <c r="H67" s="5"/>
      <c r="I67" s="85"/>
      <c r="K67" s="83"/>
      <c r="L67" s="5"/>
      <c r="M67" s="5"/>
      <c r="N67" s="85"/>
      <c r="P67" s="83">
        <v>120</v>
      </c>
      <c r="Q67" s="5">
        <v>500</v>
      </c>
      <c r="R67" s="5">
        <v>120</v>
      </c>
      <c r="S67" s="196">
        <f t="shared" si="7"/>
        <v>484.56124812435081</v>
      </c>
    </row>
    <row r="68" spans="1:19" x14ac:dyDescent="0.2">
      <c r="A68" s="83"/>
      <c r="B68" s="5"/>
      <c r="C68" s="5"/>
      <c r="D68" s="85"/>
      <c r="F68" s="83"/>
      <c r="G68" s="5"/>
      <c r="H68" s="5"/>
      <c r="I68" s="85"/>
      <c r="K68" s="83"/>
      <c r="L68" s="5"/>
      <c r="M68" s="5"/>
      <c r="N68" s="85"/>
      <c r="P68" s="83">
        <v>130</v>
      </c>
      <c r="Q68" s="5">
        <v>450</v>
      </c>
      <c r="R68" s="5">
        <v>130</v>
      </c>
      <c r="S68" s="196">
        <f t="shared" si="7"/>
        <v>438.44914863311942</v>
      </c>
    </row>
    <row r="69" spans="1:19" x14ac:dyDescent="0.2">
      <c r="A69" s="83"/>
      <c r="B69" s="5"/>
      <c r="C69" s="5"/>
      <c r="D69" s="85"/>
      <c r="F69" s="83"/>
      <c r="G69" s="5"/>
      <c r="H69" s="5"/>
      <c r="I69" s="85"/>
      <c r="K69" s="83"/>
      <c r="L69" s="5"/>
      <c r="M69" s="5"/>
      <c r="N69" s="85"/>
      <c r="P69" s="83">
        <v>150</v>
      </c>
      <c r="Q69" s="5">
        <v>400</v>
      </c>
      <c r="R69" s="5">
        <v>150</v>
      </c>
      <c r="S69" s="196">
        <f t="shared" si="7"/>
        <v>358.97180164679389</v>
      </c>
    </row>
    <row r="70" spans="1:19" x14ac:dyDescent="0.2">
      <c r="A70" s="83"/>
      <c r="B70" s="5"/>
      <c r="C70" s="5"/>
      <c r="D70" s="85"/>
      <c r="F70" s="83"/>
      <c r="G70" s="5"/>
      <c r="H70" s="5"/>
      <c r="I70" s="85"/>
      <c r="K70" s="83"/>
      <c r="L70" s="5"/>
      <c r="M70" s="5"/>
      <c r="N70" s="85"/>
      <c r="P70" s="83">
        <v>165</v>
      </c>
      <c r="Q70" s="5">
        <v>350</v>
      </c>
      <c r="R70" s="5">
        <v>165</v>
      </c>
      <c r="S70" s="196">
        <f t="shared" si="7"/>
        <v>308.96989298906914</v>
      </c>
    </row>
    <row r="71" spans="1:19" x14ac:dyDescent="0.2">
      <c r="A71" s="83"/>
      <c r="B71" s="5"/>
      <c r="C71" s="5"/>
      <c r="D71" s="85"/>
      <c r="F71" s="83"/>
      <c r="G71" s="5"/>
      <c r="H71" s="5"/>
      <c r="I71" s="85"/>
      <c r="K71" s="83"/>
      <c r="L71" s="5"/>
      <c r="M71" s="5"/>
      <c r="N71" s="85"/>
      <c r="P71" s="83">
        <v>185</v>
      </c>
      <c r="Q71" s="5">
        <v>300</v>
      </c>
      <c r="R71" s="5">
        <v>185</v>
      </c>
      <c r="S71" s="196">
        <f t="shared" si="7"/>
        <v>252.96315316536408</v>
      </c>
    </row>
    <row r="72" spans="1:19" x14ac:dyDescent="0.2">
      <c r="A72" s="193"/>
      <c r="B72" s="38"/>
      <c r="C72" s="38"/>
      <c r="D72" s="93"/>
      <c r="F72" s="193"/>
      <c r="G72" s="38"/>
      <c r="H72" s="38"/>
      <c r="I72" s="93"/>
      <c r="K72" s="193"/>
      <c r="L72" s="38"/>
      <c r="M72" s="38"/>
      <c r="N72" s="93"/>
      <c r="P72" s="83">
        <v>205</v>
      </c>
      <c r="Q72" s="5">
        <v>250</v>
      </c>
      <c r="R72" s="5">
        <v>205</v>
      </c>
      <c r="S72" s="196">
        <f t="shared" si="7"/>
        <v>207.10871289205946</v>
      </c>
    </row>
    <row r="73" spans="1:19" x14ac:dyDescent="0.2">
      <c r="P73" s="83">
        <v>225</v>
      </c>
      <c r="Q73" s="5">
        <v>200</v>
      </c>
      <c r="R73" s="5">
        <v>225</v>
      </c>
      <c r="S73" s="196">
        <f t="shared" si="7"/>
        <v>169.56627247512733</v>
      </c>
    </row>
    <row r="74" spans="1:19" x14ac:dyDescent="0.2">
      <c r="P74" s="83">
        <v>250</v>
      </c>
      <c r="Q74" s="5">
        <v>150</v>
      </c>
      <c r="R74" s="5">
        <v>250</v>
      </c>
      <c r="S74" s="196">
        <f t="shared" si="7"/>
        <v>132.0583457861284</v>
      </c>
    </row>
    <row r="75" spans="1:19" x14ac:dyDescent="0.2">
      <c r="P75" s="193">
        <v>275</v>
      </c>
      <c r="Q75" s="38">
        <v>100</v>
      </c>
      <c r="R75" s="38">
        <v>275</v>
      </c>
      <c r="S75" s="197">
        <f t="shared" si="7"/>
        <v>102.84714310935114</v>
      </c>
    </row>
    <row r="76" spans="1:19" x14ac:dyDescent="0.2">
      <c r="A76" s="194"/>
      <c r="B76" s="194"/>
      <c r="C76" s="194"/>
      <c r="D76" s="194"/>
      <c r="E76" s="194"/>
      <c r="F76" s="194"/>
      <c r="G76" s="194"/>
      <c r="H76" s="194"/>
      <c r="I76" s="194"/>
      <c r="J76" s="194"/>
      <c r="K76" s="194"/>
      <c r="L76" s="194"/>
      <c r="M76" s="194"/>
      <c r="N76" s="194"/>
      <c r="O76" s="194"/>
      <c r="P76" s="194"/>
      <c r="Q76" s="194"/>
      <c r="R76" s="194"/>
      <c r="S76" s="194"/>
    </row>
    <row r="79" spans="1:19" x14ac:dyDescent="0.2">
      <c r="A79" s="378" t="s">
        <v>313</v>
      </c>
      <c r="B79" s="378"/>
      <c r="C79" s="192"/>
      <c r="D79" s="192"/>
      <c r="F79" s="378" t="s">
        <v>314</v>
      </c>
      <c r="G79" s="378"/>
      <c r="H79" s="192"/>
      <c r="I79" s="192"/>
      <c r="K79" s="378" t="s">
        <v>315</v>
      </c>
      <c r="L79" s="378"/>
      <c r="M79" s="192"/>
      <c r="N79" s="192"/>
      <c r="P79" s="378" t="s">
        <v>316</v>
      </c>
      <c r="Q79" s="378"/>
    </row>
    <row r="80" spans="1:19" x14ac:dyDescent="0.2">
      <c r="A80" t="s">
        <v>34</v>
      </c>
      <c r="B80" t="s">
        <v>308</v>
      </c>
      <c r="F80" t="s">
        <v>34</v>
      </c>
      <c r="G80" t="s">
        <v>308</v>
      </c>
      <c r="K80" t="s">
        <v>34</v>
      </c>
      <c r="L80" t="s">
        <v>308</v>
      </c>
      <c r="P80" t="s">
        <v>34</v>
      </c>
      <c r="Q80" t="s">
        <v>308</v>
      </c>
    </row>
    <row r="81" spans="1:17" x14ac:dyDescent="0.2">
      <c r="A81">
        <v>55</v>
      </c>
      <c r="B81">
        <v>1800</v>
      </c>
      <c r="F81">
        <v>90</v>
      </c>
      <c r="G81">
        <v>1400</v>
      </c>
      <c r="K81">
        <v>75</v>
      </c>
      <c r="L81">
        <v>1400</v>
      </c>
      <c r="P81">
        <v>95</v>
      </c>
      <c r="Q81">
        <v>1200</v>
      </c>
    </row>
    <row r="82" spans="1:17" x14ac:dyDescent="0.2">
      <c r="A82">
        <v>65</v>
      </c>
      <c r="B82">
        <v>1750</v>
      </c>
      <c r="F82">
        <v>100</v>
      </c>
      <c r="G82">
        <v>1350</v>
      </c>
      <c r="K82">
        <v>85</v>
      </c>
      <c r="L82">
        <v>1350</v>
      </c>
      <c r="P82">
        <v>100</v>
      </c>
      <c r="Q82">
        <v>1150</v>
      </c>
    </row>
    <row r="83" spans="1:17" x14ac:dyDescent="0.2">
      <c r="A83">
        <v>75</v>
      </c>
      <c r="B83">
        <v>1700</v>
      </c>
      <c r="F83">
        <v>115</v>
      </c>
      <c r="G83">
        <v>1300</v>
      </c>
      <c r="K83">
        <v>95</v>
      </c>
      <c r="L83">
        <v>1300</v>
      </c>
      <c r="P83">
        <v>115</v>
      </c>
      <c r="Q83">
        <v>1100</v>
      </c>
    </row>
    <row r="84" spans="1:17" x14ac:dyDescent="0.2">
      <c r="A84">
        <v>85</v>
      </c>
      <c r="B84">
        <v>1650</v>
      </c>
      <c r="F84">
        <v>125</v>
      </c>
      <c r="G84">
        <v>1250</v>
      </c>
      <c r="K84">
        <v>100</v>
      </c>
      <c r="L84">
        <v>1250</v>
      </c>
      <c r="P84">
        <v>130</v>
      </c>
      <c r="Q84">
        <v>1050</v>
      </c>
    </row>
    <row r="85" spans="1:17" x14ac:dyDescent="0.2">
      <c r="A85">
        <v>90</v>
      </c>
      <c r="B85">
        <v>1600</v>
      </c>
      <c r="F85">
        <v>135</v>
      </c>
      <c r="G85">
        <v>1200</v>
      </c>
      <c r="K85">
        <v>115</v>
      </c>
      <c r="L85">
        <v>1200</v>
      </c>
      <c r="P85">
        <v>150</v>
      </c>
      <c r="Q85">
        <v>1000</v>
      </c>
    </row>
    <row r="86" spans="1:17" x14ac:dyDescent="0.2">
      <c r="A86">
        <v>95</v>
      </c>
      <c r="B86">
        <v>1550</v>
      </c>
      <c r="F86">
        <v>150</v>
      </c>
      <c r="G86">
        <v>1150</v>
      </c>
      <c r="K86">
        <v>125</v>
      </c>
      <c r="L86">
        <v>1150</v>
      </c>
      <c r="P86">
        <v>155</v>
      </c>
      <c r="Q86">
        <v>950</v>
      </c>
    </row>
    <row r="87" spans="1:17" x14ac:dyDescent="0.2">
      <c r="A87">
        <v>100</v>
      </c>
      <c r="B87">
        <v>1500</v>
      </c>
      <c r="F87">
        <v>175</v>
      </c>
      <c r="G87">
        <v>1100</v>
      </c>
      <c r="K87">
        <v>140</v>
      </c>
      <c r="L87">
        <v>1100</v>
      </c>
      <c r="P87">
        <v>175</v>
      </c>
      <c r="Q87">
        <v>900</v>
      </c>
    </row>
    <row r="88" spans="1:17" x14ac:dyDescent="0.2">
      <c r="A88">
        <v>110</v>
      </c>
      <c r="B88">
        <v>1450</v>
      </c>
      <c r="F88">
        <v>190</v>
      </c>
      <c r="G88">
        <v>1050</v>
      </c>
      <c r="K88">
        <v>160</v>
      </c>
      <c r="L88">
        <v>1050</v>
      </c>
      <c r="P88">
        <v>190</v>
      </c>
      <c r="Q88">
        <v>850</v>
      </c>
    </row>
    <row r="89" spans="1:17" x14ac:dyDescent="0.2">
      <c r="A89">
        <v>125</v>
      </c>
      <c r="B89">
        <v>1400</v>
      </c>
      <c r="F89">
        <v>215</v>
      </c>
      <c r="G89">
        <v>1000</v>
      </c>
      <c r="K89">
        <v>175</v>
      </c>
      <c r="L89">
        <v>1000</v>
      </c>
      <c r="P89">
        <v>215</v>
      </c>
      <c r="Q89">
        <v>800</v>
      </c>
    </row>
    <row r="90" spans="1:17" x14ac:dyDescent="0.2">
      <c r="A90">
        <v>140</v>
      </c>
      <c r="B90">
        <v>1350</v>
      </c>
      <c r="F90">
        <v>235</v>
      </c>
      <c r="G90">
        <v>950</v>
      </c>
      <c r="K90">
        <v>195</v>
      </c>
      <c r="L90">
        <v>950</v>
      </c>
      <c r="P90">
        <v>250</v>
      </c>
      <c r="Q90">
        <v>750</v>
      </c>
    </row>
    <row r="91" spans="1:17" x14ac:dyDescent="0.2">
      <c r="A91">
        <v>150</v>
      </c>
      <c r="B91">
        <v>1300</v>
      </c>
      <c r="F91">
        <v>265</v>
      </c>
      <c r="G91">
        <v>900</v>
      </c>
      <c r="K91">
        <v>215</v>
      </c>
      <c r="L91">
        <v>900</v>
      </c>
      <c r="P91">
        <v>265</v>
      </c>
      <c r="Q91">
        <v>700</v>
      </c>
    </row>
    <row r="92" spans="1:17" x14ac:dyDescent="0.2">
      <c r="A92">
        <v>165</v>
      </c>
      <c r="B92">
        <v>1250</v>
      </c>
      <c r="F92">
        <v>300</v>
      </c>
      <c r="G92">
        <v>850</v>
      </c>
      <c r="K92">
        <v>250</v>
      </c>
      <c r="L92">
        <v>850</v>
      </c>
      <c r="P92">
        <v>300</v>
      </c>
      <c r="Q92">
        <v>650</v>
      </c>
    </row>
    <row r="93" spans="1:17" x14ac:dyDescent="0.2">
      <c r="A93">
        <v>185</v>
      </c>
      <c r="B93">
        <v>1200</v>
      </c>
      <c r="F93">
        <v>340</v>
      </c>
      <c r="G93">
        <v>800</v>
      </c>
      <c r="K93">
        <v>275</v>
      </c>
      <c r="L93">
        <v>800</v>
      </c>
      <c r="P93">
        <v>325</v>
      </c>
      <c r="Q93">
        <v>600</v>
      </c>
    </row>
    <row r="94" spans="1:17" x14ac:dyDescent="0.2">
      <c r="A94">
        <v>200</v>
      </c>
      <c r="B94">
        <v>1150</v>
      </c>
      <c r="F94">
        <v>375</v>
      </c>
      <c r="G94">
        <v>750</v>
      </c>
      <c r="K94">
        <v>310</v>
      </c>
      <c r="L94">
        <v>750</v>
      </c>
      <c r="P94">
        <v>375</v>
      </c>
      <c r="Q94">
        <v>550</v>
      </c>
    </row>
    <row r="95" spans="1:17" x14ac:dyDescent="0.2">
      <c r="A95">
        <v>235</v>
      </c>
      <c r="B95">
        <v>1100</v>
      </c>
      <c r="F95">
        <v>410</v>
      </c>
      <c r="G95">
        <v>700</v>
      </c>
      <c r="K95">
        <v>340</v>
      </c>
      <c r="L95">
        <v>700</v>
      </c>
      <c r="P95">
        <v>410</v>
      </c>
      <c r="Q95">
        <v>500</v>
      </c>
    </row>
    <row r="96" spans="1:17" x14ac:dyDescent="0.2">
      <c r="A96">
        <v>265</v>
      </c>
      <c r="B96">
        <v>1050</v>
      </c>
      <c r="F96">
        <v>460</v>
      </c>
      <c r="G96">
        <v>650</v>
      </c>
      <c r="K96">
        <v>375</v>
      </c>
      <c r="L96">
        <v>650</v>
      </c>
      <c r="P96">
        <v>455</v>
      </c>
      <c r="Q96">
        <v>450</v>
      </c>
    </row>
    <row r="97" spans="1:17" x14ac:dyDescent="0.2">
      <c r="A97">
        <v>300</v>
      </c>
      <c r="B97">
        <v>1000</v>
      </c>
      <c r="F97">
        <v>515</v>
      </c>
      <c r="G97">
        <v>600</v>
      </c>
      <c r="K97">
        <v>425</v>
      </c>
      <c r="L97">
        <v>600</v>
      </c>
      <c r="P97">
        <v>525</v>
      </c>
      <c r="Q97">
        <v>400</v>
      </c>
    </row>
    <row r="98" spans="1:17" x14ac:dyDescent="0.2">
      <c r="A98">
        <v>325</v>
      </c>
      <c r="B98">
        <v>950</v>
      </c>
      <c r="F98">
        <v>560</v>
      </c>
      <c r="G98">
        <v>550</v>
      </c>
      <c r="K98">
        <v>475</v>
      </c>
      <c r="L98">
        <v>550</v>
      </c>
      <c r="P98">
        <v>575</v>
      </c>
      <c r="Q98">
        <v>350</v>
      </c>
    </row>
    <row r="99" spans="1:17" x14ac:dyDescent="0.2">
      <c r="A99">
        <v>375</v>
      </c>
      <c r="B99">
        <v>900</v>
      </c>
      <c r="F99">
        <v>640</v>
      </c>
      <c r="G99">
        <v>500</v>
      </c>
      <c r="K99">
        <v>525</v>
      </c>
      <c r="L99">
        <v>500</v>
      </c>
      <c r="P99">
        <v>640</v>
      </c>
      <c r="Q99">
        <v>300</v>
      </c>
    </row>
    <row r="100" spans="1:17" x14ac:dyDescent="0.2">
      <c r="A100">
        <v>425</v>
      </c>
      <c r="B100">
        <v>850</v>
      </c>
      <c r="F100">
        <v>715</v>
      </c>
      <c r="G100">
        <v>450</v>
      </c>
      <c r="K100">
        <v>590</v>
      </c>
      <c r="L100">
        <v>450</v>
      </c>
      <c r="P100">
        <v>710</v>
      </c>
      <c r="Q100">
        <v>250</v>
      </c>
    </row>
    <row r="101" spans="1:17" x14ac:dyDescent="0.2">
      <c r="A101">
        <v>475</v>
      </c>
      <c r="B101">
        <v>800</v>
      </c>
      <c r="F101">
        <v>800</v>
      </c>
      <c r="G101">
        <v>400</v>
      </c>
      <c r="K101">
        <v>665</v>
      </c>
      <c r="L101">
        <v>400</v>
      </c>
      <c r="P101">
        <v>800</v>
      </c>
      <c r="Q101">
        <v>200</v>
      </c>
    </row>
    <row r="102" spans="1:17" x14ac:dyDescent="0.2">
      <c r="A102">
        <v>525</v>
      </c>
      <c r="B102">
        <v>750</v>
      </c>
      <c r="F102">
        <v>900</v>
      </c>
      <c r="G102">
        <v>350</v>
      </c>
      <c r="K102">
        <v>740</v>
      </c>
      <c r="L102">
        <v>350</v>
      </c>
      <c r="P102">
        <v>885</v>
      </c>
      <c r="Q102">
        <v>150</v>
      </c>
    </row>
    <row r="103" spans="1:17" x14ac:dyDescent="0.2">
      <c r="A103">
        <v>585</v>
      </c>
      <c r="B103">
        <v>700</v>
      </c>
      <c r="F103">
        <v>1000</v>
      </c>
      <c r="G103">
        <v>300</v>
      </c>
      <c r="K103">
        <v>810</v>
      </c>
      <c r="L103">
        <v>300</v>
      </c>
      <c r="P103">
        <v>1000</v>
      </c>
      <c r="Q103">
        <v>100</v>
      </c>
    </row>
    <row r="104" spans="1:17" x14ac:dyDescent="0.2">
      <c r="A104">
        <v>650</v>
      </c>
      <c r="B104">
        <v>650</v>
      </c>
      <c r="F104">
        <v>1100</v>
      </c>
      <c r="G104">
        <v>250</v>
      </c>
      <c r="K104">
        <v>925</v>
      </c>
      <c r="L104">
        <v>250</v>
      </c>
    </row>
    <row r="105" spans="1:17" x14ac:dyDescent="0.2">
      <c r="A105">
        <v>725</v>
      </c>
      <c r="B105">
        <v>600</v>
      </c>
      <c r="F105">
        <v>1250</v>
      </c>
      <c r="G105">
        <v>200</v>
      </c>
      <c r="K105">
        <v>1025</v>
      </c>
      <c r="L105">
        <v>200</v>
      </c>
    </row>
    <row r="106" spans="1:17" x14ac:dyDescent="0.2">
      <c r="A106">
        <v>810</v>
      </c>
      <c r="B106">
        <v>550</v>
      </c>
      <c r="F106">
        <v>1360</v>
      </c>
      <c r="G106">
        <v>150</v>
      </c>
      <c r="K106">
        <v>1125</v>
      </c>
      <c r="L106">
        <v>150</v>
      </c>
    </row>
    <row r="107" spans="1:17" x14ac:dyDescent="0.2">
      <c r="A107">
        <v>900</v>
      </c>
      <c r="B107">
        <v>500</v>
      </c>
      <c r="F107">
        <v>1560</v>
      </c>
      <c r="G107">
        <v>100</v>
      </c>
      <c r="K107">
        <v>1285</v>
      </c>
      <c r="L107">
        <v>100</v>
      </c>
    </row>
    <row r="108" spans="1:17" x14ac:dyDescent="0.2">
      <c r="A108">
        <v>1000</v>
      </c>
      <c r="B108">
        <v>450</v>
      </c>
    </row>
    <row r="109" spans="1:17" x14ac:dyDescent="0.2">
      <c r="A109">
        <v>1125</v>
      </c>
      <c r="B109">
        <v>400</v>
      </c>
    </row>
    <row r="110" spans="1:17" x14ac:dyDescent="0.2">
      <c r="A110">
        <v>1250</v>
      </c>
      <c r="B110">
        <v>350</v>
      </c>
    </row>
    <row r="111" spans="1:17" x14ac:dyDescent="0.2">
      <c r="A111">
        <v>1375</v>
      </c>
      <c r="B111">
        <v>300</v>
      </c>
    </row>
    <row r="112" spans="1:17" x14ac:dyDescent="0.2">
      <c r="A112">
        <v>1550</v>
      </c>
      <c r="B112">
        <v>250</v>
      </c>
    </row>
    <row r="113" spans="1:17" x14ac:dyDescent="0.2">
      <c r="A113">
        <v>1750</v>
      </c>
      <c r="B113">
        <v>200</v>
      </c>
    </row>
    <row r="114" spans="1:17" x14ac:dyDescent="0.2">
      <c r="A114">
        <v>1925</v>
      </c>
      <c r="B114">
        <v>150</v>
      </c>
    </row>
    <row r="115" spans="1:17" x14ac:dyDescent="0.2">
      <c r="A115">
        <v>2200</v>
      </c>
      <c r="B115">
        <v>100</v>
      </c>
    </row>
    <row r="118" spans="1:17" x14ac:dyDescent="0.2">
      <c r="A118" s="378" t="s">
        <v>317</v>
      </c>
      <c r="B118" s="378"/>
      <c r="C118" s="192"/>
      <c r="D118" s="192"/>
      <c r="F118" s="378" t="s">
        <v>318</v>
      </c>
      <c r="G118" s="378"/>
      <c r="H118" s="192"/>
      <c r="I118" s="192"/>
      <c r="K118" s="378" t="s">
        <v>319</v>
      </c>
      <c r="L118" s="378"/>
      <c r="M118" s="192"/>
      <c r="N118" s="192"/>
      <c r="P118" s="378" t="s">
        <v>320</v>
      </c>
      <c r="Q118" s="378"/>
    </row>
    <row r="119" spans="1:17" x14ac:dyDescent="0.2">
      <c r="A119" t="s">
        <v>34</v>
      </c>
      <c r="B119" t="s">
        <v>308</v>
      </c>
      <c r="F119" t="s">
        <v>34</v>
      </c>
      <c r="G119" t="s">
        <v>308</v>
      </c>
      <c r="K119" t="s">
        <v>34</v>
      </c>
      <c r="L119" t="s">
        <v>308</v>
      </c>
      <c r="P119" t="s">
        <v>34</v>
      </c>
      <c r="Q119" t="s">
        <v>308</v>
      </c>
    </row>
    <row r="120" spans="1:17" x14ac:dyDescent="0.2">
      <c r="A120">
        <v>45</v>
      </c>
      <c r="B120">
        <v>1400</v>
      </c>
      <c r="F120">
        <v>55</v>
      </c>
      <c r="G120">
        <v>1200</v>
      </c>
      <c r="K120">
        <v>125</v>
      </c>
      <c r="L120">
        <v>800</v>
      </c>
      <c r="P120">
        <v>5</v>
      </c>
      <c r="Q120">
        <v>1800</v>
      </c>
    </row>
    <row r="121" spans="1:17" x14ac:dyDescent="0.2">
      <c r="A121">
        <v>50</v>
      </c>
      <c r="B121">
        <v>1350</v>
      </c>
      <c r="F121">
        <v>65</v>
      </c>
      <c r="G121">
        <v>1150</v>
      </c>
      <c r="K121">
        <v>135</v>
      </c>
      <c r="L121">
        <v>750</v>
      </c>
      <c r="P121">
        <v>5</v>
      </c>
      <c r="Q121">
        <v>1750</v>
      </c>
    </row>
    <row r="122" spans="1:17" x14ac:dyDescent="0.2">
      <c r="A122">
        <v>55</v>
      </c>
      <c r="B122">
        <v>1300</v>
      </c>
      <c r="F122">
        <v>75</v>
      </c>
      <c r="G122">
        <v>1100</v>
      </c>
      <c r="K122">
        <v>150</v>
      </c>
      <c r="L122">
        <v>700</v>
      </c>
      <c r="P122">
        <v>8</v>
      </c>
      <c r="Q122">
        <v>1700</v>
      </c>
    </row>
    <row r="123" spans="1:17" x14ac:dyDescent="0.2">
      <c r="A123">
        <v>60</v>
      </c>
      <c r="B123">
        <v>1250</v>
      </c>
      <c r="F123">
        <v>85</v>
      </c>
      <c r="G123">
        <v>1050</v>
      </c>
      <c r="K123">
        <v>165</v>
      </c>
      <c r="L123">
        <v>650</v>
      </c>
      <c r="P123">
        <v>10</v>
      </c>
      <c r="Q123">
        <v>1650</v>
      </c>
    </row>
    <row r="124" spans="1:17" x14ac:dyDescent="0.2">
      <c r="A124">
        <v>65</v>
      </c>
      <c r="B124">
        <v>1200</v>
      </c>
      <c r="F124">
        <v>90</v>
      </c>
      <c r="G124">
        <v>1000</v>
      </c>
      <c r="K124">
        <v>180</v>
      </c>
      <c r="L124">
        <v>600</v>
      </c>
      <c r="P124">
        <v>15</v>
      </c>
      <c r="Q124">
        <v>1600</v>
      </c>
    </row>
    <row r="125" spans="1:17" x14ac:dyDescent="0.2">
      <c r="A125">
        <v>75</v>
      </c>
      <c r="B125">
        <v>1150</v>
      </c>
      <c r="F125">
        <v>100</v>
      </c>
      <c r="G125">
        <v>950</v>
      </c>
      <c r="K125">
        <v>200</v>
      </c>
      <c r="L125">
        <v>550</v>
      </c>
      <c r="P125">
        <v>20</v>
      </c>
      <c r="Q125">
        <v>1550</v>
      </c>
    </row>
    <row r="126" spans="1:17" x14ac:dyDescent="0.2">
      <c r="A126">
        <v>90</v>
      </c>
      <c r="B126">
        <v>1100</v>
      </c>
      <c r="F126">
        <v>110</v>
      </c>
      <c r="G126">
        <v>900</v>
      </c>
      <c r="K126">
        <v>225</v>
      </c>
      <c r="L126">
        <v>500</v>
      </c>
      <c r="P126">
        <v>25</v>
      </c>
      <c r="Q126">
        <v>1500</v>
      </c>
    </row>
    <row r="127" spans="1:17" x14ac:dyDescent="0.2">
      <c r="A127">
        <v>100</v>
      </c>
      <c r="B127">
        <v>1050</v>
      </c>
      <c r="F127">
        <v>125</v>
      </c>
      <c r="G127">
        <v>850</v>
      </c>
      <c r="K127">
        <v>255</v>
      </c>
      <c r="L127">
        <v>450</v>
      </c>
      <c r="P127">
        <v>30</v>
      </c>
      <c r="Q127">
        <v>1450</v>
      </c>
    </row>
    <row r="128" spans="1:17" x14ac:dyDescent="0.2">
      <c r="A128">
        <v>105</v>
      </c>
      <c r="B128">
        <v>1000</v>
      </c>
      <c r="F128">
        <v>140</v>
      </c>
      <c r="G128">
        <v>800</v>
      </c>
      <c r="K128">
        <v>280</v>
      </c>
      <c r="L128">
        <v>400</v>
      </c>
      <c r="P128">
        <v>35</v>
      </c>
      <c r="Q128">
        <v>1400</v>
      </c>
    </row>
    <row r="129" spans="1:17" x14ac:dyDescent="0.2">
      <c r="A129">
        <v>115</v>
      </c>
      <c r="B129">
        <v>950</v>
      </c>
      <c r="F129">
        <v>150</v>
      </c>
      <c r="G129">
        <v>750</v>
      </c>
      <c r="K129">
        <v>310</v>
      </c>
      <c r="L129">
        <v>350</v>
      </c>
      <c r="P129">
        <v>38</v>
      </c>
      <c r="Q129">
        <v>1350</v>
      </c>
    </row>
    <row r="130" spans="1:17" x14ac:dyDescent="0.2">
      <c r="A130">
        <v>130</v>
      </c>
      <c r="B130">
        <v>900</v>
      </c>
      <c r="F130">
        <v>165</v>
      </c>
      <c r="G130">
        <v>700</v>
      </c>
      <c r="K130">
        <v>350</v>
      </c>
      <c r="L130">
        <v>300</v>
      </c>
      <c r="P130">
        <v>40</v>
      </c>
      <c r="Q130">
        <v>1300</v>
      </c>
    </row>
    <row r="131" spans="1:17" x14ac:dyDescent="0.2">
      <c r="A131">
        <v>150</v>
      </c>
      <c r="B131">
        <v>850</v>
      </c>
      <c r="F131">
        <v>185</v>
      </c>
      <c r="G131">
        <v>650</v>
      </c>
      <c r="K131">
        <v>390</v>
      </c>
      <c r="L131">
        <v>250</v>
      </c>
      <c r="P131">
        <v>42</v>
      </c>
      <c r="Q131">
        <v>1250</v>
      </c>
    </row>
    <row r="132" spans="1:17" x14ac:dyDescent="0.2">
      <c r="A132">
        <v>160</v>
      </c>
      <c r="B132">
        <v>800</v>
      </c>
      <c r="F132">
        <v>200</v>
      </c>
      <c r="G132">
        <v>600</v>
      </c>
      <c r="K132">
        <v>435</v>
      </c>
      <c r="L132">
        <v>200</v>
      </c>
      <c r="P132">
        <v>45</v>
      </c>
      <c r="Q132">
        <v>1200</v>
      </c>
    </row>
    <row r="133" spans="1:17" x14ac:dyDescent="0.2">
      <c r="A133">
        <v>180</v>
      </c>
      <c r="B133">
        <v>750</v>
      </c>
      <c r="F133">
        <v>225</v>
      </c>
      <c r="G133">
        <v>550</v>
      </c>
      <c r="K133">
        <v>490</v>
      </c>
      <c r="L133">
        <v>150</v>
      </c>
      <c r="P133">
        <v>48</v>
      </c>
      <c r="Q133">
        <v>1150</v>
      </c>
    </row>
    <row r="134" spans="1:17" x14ac:dyDescent="0.2">
      <c r="A134">
        <v>190</v>
      </c>
      <c r="B134">
        <v>700</v>
      </c>
      <c r="F134">
        <v>255</v>
      </c>
      <c r="G134">
        <v>500</v>
      </c>
      <c r="K134">
        <v>550</v>
      </c>
      <c r="L134">
        <v>100</v>
      </c>
      <c r="P134">
        <v>50</v>
      </c>
      <c r="Q134">
        <v>1100</v>
      </c>
    </row>
    <row r="135" spans="1:17" x14ac:dyDescent="0.2">
      <c r="A135">
        <v>215</v>
      </c>
      <c r="B135">
        <v>650</v>
      </c>
      <c r="F135">
        <v>285</v>
      </c>
      <c r="G135">
        <v>450</v>
      </c>
      <c r="P135">
        <v>55</v>
      </c>
      <c r="Q135">
        <v>1050</v>
      </c>
    </row>
    <row r="136" spans="1:17" x14ac:dyDescent="0.2">
      <c r="A136">
        <v>240</v>
      </c>
      <c r="B136">
        <v>600</v>
      </c>
      <c r="F136">
        <v>315</v>
      </c>
      <c r="G136">
        <v>400</v>
      </c>
      <c r="P136">
        <v>60</v>
      </c>
      <c r="Q136">
        <v>1000</v>
      </c>
    </row>
    <row r="137" spans="1:17" x14ac:dyDescent="0.2">
      <c r="A137">
        <v>275</v>
      </c>
      <c r="B137">
        <v>550</v>
      </c>
      <c r="F137">
        <v>350</v>
      </c>
      <c r="G137">
        <v>350</v>
      </c>
      <c r="P137">
        <v>70</v>
      </c>
      <c r="Q137">
        <v>950</v>
      </c>
    </row>
    <row r="138" spans="1:17" x14ac:dyDescent="0.2">
      <c r="A138">
        <v>300</v>
      </c>
      <c r="B138">
        <v>500</v>
      </c>
      <c r="F138">
        <v>390</v>
      </c>
      <c r="G138">
        <v>300</v>
      </c>
      <c r="P138">
        <v>80</v>
      </c>
      <c r="Q138">
        <v>900</v>
      </c>
    </row>
    <row r="139" spans="1:17" x14ac:dyDescent="0.2">
      <c r="A139">
        <v>335</v>
      </c>
      <c r="B139">
        <v>450</v>
      </c>
      <c r="F139">
        <v>440</v>
      </c>
      <c r="G139">
        <v>250</v>
      </c>
      <c r="P139">
        <v>90</v>
      </c>
      <c r="Q139">
        <v>850</v>
      </c>
    </row>
    <row r="140" spans="1:17" x14ac:dyDescent="0.2">
      <c r="A140">
        <v>375</v>
      </c>
      <c r="B140">
        <v>400</v>
      </c>
      <c r="F140">
        <v>490</v>
      </c>
      <c r="G140">
        <v>200</v>
      </c>
      <c r="P140">
        <v>100</v>
      </c>
      <c r="Q140">
        <v>800</v>
      </c>
    </row>
    <row r="141" spans="1:17" x14ac:dyDescent="0.2">
      <c r="A141">
        <v>415</v>
      </c>
      <c r="B141">
        <v>350</v>
      </c>
      <c r="F141">
        <v>550</v>
      </c>
      <c r="G141">
        <v>150</v>
      </c>
      <c r="P141">
        <v>115</v>
      </c>
      <c r="Q141">
        <v>750</v>
      </c>
    </row>
    <row r="142" spans="1:17" x14ac:dyDescent="0.2">
      <c r="A142">
        <v>460</v>
      </c>
      <c r="B142">
        <v>300</v>
      </c>
      <c r="F142">
        <v>605</v>
      </c>
      <c r="G142">
        <v>100</v>
      </c>
      <c r="P142">
        <v>125</v>
      </c>
      <c r="Q142">
        <v>700</v>
      </c>
    </row>
    <row r="143" spans="1:17" x14ac:dyDescent="0.2">
      <c r="A143">
        <v>525</v>
      </c>
      <c r="B143">
        <v>250</v>
      </c>
      <c r="P143">
        <v>140</v>
      </c>
      <c r="Q143">
        <v>650</v>
      </c>
    </row>
    <row r="144" spans="1:17" x14ac:dyDescent="0.2">
      <c r="A144">
        <v>575</v>
      </c>
      <c r="B144">
        <v>200</v>
      </c>
      <c r="P144">
        <v>150</v>
      </c>
      <c r="Q144">
        <v>600</v>
      </c>
    </row>
    <row r="145" spans="1:17" x14ac:dyDescent="0.2">
      <c r="A145">
        <v>640</v>
      </c>
      <c r="B145">
        <v>150</v>
      </c>
      <c r="P145">
        <v>165</v>
      </c>
      <c r="Q145">
        <v>550</v>
      </c>
    </row>
    <row r="146" spans="1:17" x14ac:dyDescent="0.2">
      <c r="A146">
        <v>725</v>
      </c>
      <c r="B146">
        <v>100</v>
      </c>
      <c r="P146">
        <v>180</v>
      </c>
      <c r="Q146">
        <v>500</v>
      </c>
    </row>
    <row r="147" spans="1:17" x14ac:dyDescent="0.2">
      <c r="P147">
        <v>200</v>
      </c>
      <c r="Q147">
        <v>450</v>
      </c>
    </row>
    <row r="148" spans="1:17" x14ac:dyDescent="0.2">
      <c r="P148">
        <v>225</v>
      </c>
      <c r="Q148">
        <v>400</v>
      </c>
    </row>
    <row r="149" spans="1:17" x14ac:dyDescent="0.2">
      <c r="P149">
        <v>250</v>
      </c>
      <c r="Q149">
        <v>350</v>
      </c>
    </row>
    <row r="150" spans="1:17" x14ac:dyDescent="0.2">
      <c r="P150">
        <v>275</v>
      </c>
      <c r="Q150">
        <v>300</v>
      </c>
    </row>
    <row r="151" spans="1:17" x14ac:dyDescent="0.2">
      <c r="P151">
        <v>315</v>
      </c>
      <c r="Q151">
        <v>250</v>
      </c>
    </row>
    <row r="152" spans="1:17" x14ac:dyDescent="0.2">
      <c r="P152">
        <v>350</v>
      </c>
      <c r="Q152">
        <v>200</v>
      </c>
    </row>
    <row r="153" spans="1:17" x14ac:dyDescent="0.2">
      <c r="P153">
        <v>385</v>
      </c>
      <c r="Q153">
        <v>150</v>
      </c>
    </row>
    <row r="154" spans="1:17" x14ac:dyDescent="0.2">
      <c r="P154">
        <v>440</v>
      </c>
      <c r="Q154">
        <v>100</v>
      </c>
    </row>
  </sheetData>
  <sheetProtection password="C74A" sheet="1" objects="1" scenarios="1" selectLockedCells="1" selectUnlockedCells="1"/>
  <mergeCells count="24">
    <mergeCell ref="A79:B79"/>
    <mergeCell ref="F79:G79"/>
    <mergeCell ref="K79:L79"/>
    <mergeCell ref="P79:Q79"/>
    <mergeCell ref="A118:B118"/>
    <mergeCell ref="F118:G118"/>
    <mergeCell ref="K118:L118"/>
    <mergeCell ref="P118:Q118"/>
    <mergeCell ref="A1:B1"/>
    <mergeCell ref="F1:G1"/>
    <mergeCell ref="K1:L1"/>
    <mergeCell ref="P1:Q1"/>
    <mergeCell ref="A39:B39"/>
    <mergeCell ref="F39:G39"/>
    <mergeCell ref="K39:L39"/>
    <mergeCell ref="P39:Q39"/>
    <mergeCell ref="C1:D1"/>
    <mergeCell ref="H1:I1"/>
    <mergeCell ref="M1:N1"/>
    <mergeCell ref="R1:S1"/>
    <mergeCell ref="C39:D39"/>
    <mergeCell ref="H39:I39"/>
    <mergeCell ref="M39:N39"/>
    <mergeCell ref="R39:S3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0"/>
  </sheetPr>
  <dimension ref="A1:AB270"/>
  <sheetViews>
    <sheetView zoomScale="90" zoomScaleNormal="90" workbookViewId="0">
      <selection activeCell="M20" sqref="M20"/>
    </sheetView>
  </sheetViews>
  <sheetFormatPr defaultRowHeight="12.75" x14ac:dyDescent="0.2"/>
  <cols>
    <col min="1" max="1" width="8.42578125" bestFit="1" customWidth="1"/>
    <col min="3" max="3" width="13.140625" bestFit="1" customWidth="1"/>
    <col min="4" max="4" width="11" customWidth="1"/>
    <col min="5" max="5" width="9.140625" style="15"/>
    <col min="9" max="10" width="12.7109375" customWidth="1"/>
  </cols>
  <sheetData>
    <row r="1" spans="1:28" x14ac:dyDescent="0.2">
      <c r="A1" s="383" t="s">
        <v>285</v>
      </c>
      <c r="B1" s="384"/>
      <c r="C1" s="384"/>
      <c r="D1" s="384"/>
      <c r="E1" s="384"/>
      <c r="F1" s="385"/>
      <c r="H1" s="383" t="s">
        <v>287</v>
      </c>
      <c r="I1" s="384"/>
      <c r="J1" s="384"/>
      <c r="K1" s="384"/>
      <c r="L1" s="384"/>
      <c r="M1" s="384"/>
      <c r="N1" s="385"/>
      <c r="P1" s="383" t="s">
        <v>290</v>
      </c>
      <c r="Q1" s="384"/>
      <c r="R1" s="384"/>
      <c r="S1" s="384"/>
      <c r="T1" s="384"/>
      <c r="U1" s="385"/>
      <c r="W1" s="383" t="s">
        <v>293</v>
      </c>
      <c r="X1" s="384"/>
      <c r="Y1" s="384"/>
      <c r="Z1" s="384"/>
      <c r="AA1" s="384"/>
      <c r="AB1" s="385"/>
    </row>
    <row r="2" spans="1:28" s="4" customFormat="1" ht="39.75" customHeight="1" x14ac:dyDescent="0.2">
      <c r="A2" s="78" t="s">
        <v>74</v>
      </c>
      <c r="B2" s="79" t="s">
        <v>34</v>
      </c>
      <c r="C2" s="79"/>
      <c r="D2" s="80"/>
      <c r="E2" s="81"/>
      <c r="F2" s="82"/>
      <c r="H2" s="78" t="s">
        <v>74</v>
      </c>
      <c r="I2" s="79" t="s">
        <v>34</v>
      </c>
      <c r="J2" s="79"/>
      <c r="K2" s="80"/>
      <c r="L2" s="80"/>
      <c r="M2" s="80"/>
      <c r="N2" s="82"/>
      <c r="P2" s="78" t="s">
        <v>74</v>
      </c>
      <c r="Q2" s="79" t="s">
        <v>34</v>
      </c>
      <c r="R2" s="80"/>
      <c r="S2" s="80"/>
      <c r="T2" s="80"/>
      <c r="U2" s="99"/>
      <c r="W2" s="78" t="s">
        <v>74</v>
      </c>
      <c r="X2" s="79" t="s">
        <v>34</v>
      </c>
      <c r="Y2" s="79"/>
      <c r="Z2" s="80"/>
      <c r="AA2" s="80"/>
      <c r="AB2" s="82"/>
    </row>
    <row r="3" spans="1:28" x14ac:dyDescent="0.2">
      <c r="A3" s="97">
        <v>150</v>
      </c>
      <c r="B3" s="98">
        <v>355</v>
      </c>
      <c r="C3" s="5"/>
      <c r="D3" s="5"/>
      <c r="E3" s="84" t="s">
        <v>207</v>
      </c>
      <c r="F3" s="85" t="str">
        <f>'Inputs&amp;Findings'!BO47</f>
        <v>N/A</v>
      </c>
      <c r="H3" s="97">
        <v>110</v>
      </c>
      <c r="I3" s="98">
        <v>247</v>
      </c>
      <c r="J3" s="5"/>
      <c r="K3" s="5"/>
      <c r="L3" s="5"/>
      <c r="M3" s="84" t="s">
        <v>207</v>
      </c>
      <c r="N3" s="85" t="str">
        <f>'Inputs&amp;Findings'!BO47</f>
        <v>N/A</v>
      </c>
      <c r="P3" s="83">
        <v>150</v>
      </c>
      <c r="Q3" s="5">
        <v>560</v>
      </c>
      <c r="R3" s="5"/>
      <c r="S3" s="5"/>
      <c r="T3" s="84" t="s">
        <v>207</v>
      </c>
      <c r="U3" s="85" t="str">
        <f>'Inputs&amp;Findings'!BO47</f>
        <v>N/A</v>
      </c>
      <c r="W3" s="83">
        <v>150</v>
      </c>
      <c r="X3" s="5">
        <v>352</v>
      </c>
      <c r="Y3" s="5"/>
      <c r="Z3" s="5"/>
      <c r="AA3" s="84" t="s">
        <v>207</v>
      </c>
      <c r="AB3" s="85" t="str">
        <f>'Inputs&amp;Findings'!BO47</f>
        <v>N/A</v>
      </c>
    </row>
    <row r="4" spans="1:28" x14ac:dyDescent="0.2">
      <c r="A4" s="97">
        <v>120</v>
      </c>
      <c r="B4" s="98">
        <v>375</v>
      </c>
      <c r="C4" s="5"/>
      <c r="D4" s="5"/>
      <c r="E4" s="86" t="s">
        <v>286</v>
      </c>
      <c r="F4" s="87" t="e">
        <f>VLOOKUP(F3,E14:F138,2)</f>
        <v>#N/A</v>
      </c>
      <c r="H4" s="97">
        <v>90</v>
      </c>
      <c r="I4" s="98">
        <v>263</v>
      </c>
      <c r="J4" s="5"/>
      <c r="K4" s="5"/>
      <c r="L4" s="5"/>
      <c r="M4" s="86" t="s">
        <v>286</v>
      </c>
      <c r="N4" s="87" t="e">
        <f>VLOOKUP(N3,J22:K118,2)</f>
        <v>#N/A</v>
      </c>
      <c r="P4" s="83">
        <v>140</v>
      </c>
      <c r="Q4" s="5">
        <v>585</v>
      </c>
      <c r="R4" s="5"/>
      <c r="S4" s="5"/>
      <c r="T4" s="86" t="s">
        <v>286</v>
      </c>
      <c r="U4" s="87" t="e">
        <f>VLOOKUP(U3,R24:S146,2)</f>
        <v>#N/A</v>
      </c>
      <c r="W4" s="83">
        <v>120</v>
      </c>
      <c r="X4" s="5">
        <v>377</v>
      </c>
      <c r="Y4" s="5"/>
      <c r="Z4" s="5"/>
      <c r="AA4" s="86" t="s">
        <v>286</v>
      </c>
      <c r="AB4" s="87" t="e">
        <f>VLOOKUP(AB3,Y14:Z144,2)</f>
        <v>#N/A</v>
      </c>
    </row>
    <row r="5" spans="1:28" x14ac:dyDescent="0.2">
      <c r="A5" s="97">
        <v>100</v>
      </c>
      <c r="B5" s="98">
        <v>400</v>
      </c>
      <c r="C5" s="5"/>
      <c r="D5" s="5"/>
      <c r="E5" s="7"/>
      <c r="F5" s="85"/>
      <c r="H5" s="97">
        <v>70</v>
      </c>
      <c r="I5" s="98">
        <v>289</v>
      </c>
      <c r="J5" s="5"/>
      <c r="K5" s="5"/>
      <c r="L5" s="5"/>
      <c r="M5" s="5"/>
      <c r="N5" s="85"/>
      <c r="P5" s="83">
        <v>130</v>
      </c>
      <c r="Q5" s="5">
        <v>610</v>
      </c>
      <c r="R5" s="5"/>
      <c r="S5" s="5"/>
      <c r="T5" s="5"/>
      <c r="U5" s="85"/>
      <c r="W5" s="83">
        <v>100</v>
      </c>
      <c r="X5" s="5">
        <v>407</v>
      </c>
      <c r="Y5" s="5"/>
      <c r="Z5" s="5"/>
      <c r="AA5" s="5"/>
      <c r="AB5" s="85"/>
    </row>
    <row r="6" spans="1:28" x14ac:dyDescent="0.2">
      <c r="A6" s="97">
        <v>80</v>
      </c>
      <c r="B6" s="98">
        <v>455</v>
      </c>
      <c r="C6" s="5"/>
      <c r="D6" s="5"/>
      <c r="E6" s="7"/>
      <c r="F6" s="85"/>
      <c r="H6" s="97">
        <v>64</v>
      </c>
      <c r="I6" s="98">
        <v>300</v>
      </c>
      <c r="J6" s="5"/>
      <c r="K6" s="5"/>
      <c r="L6" s="5"/>
      <c r="M6" s="5"/>
      <c r="N6" s="85"/>
      <c r="P6" s="83">
        <v>120</v>
      </c>
      <c r="Q6" s="5">
        <v>640</v>
      </c>
      <c r="R6" s="5"/>
      <c r="S6" s="5"/>
      <c r="T6" s="5"/>
      <c r="U6" s="85"/>
      <c r="W6" s="83">
        <v>70</v>
      </c>
      <c r="X6" s="5">
        <v>500</v>
      </c>
      <c r="Y6" s="5"/>
      <c r="Z6" s="5"/>
      <c r="AA6" s="5"/>
      <c r="AB6" s="85"/>
    </row>
    <row r="7" spans="1:28" x14ac:dyDescent="0.2">
      <c r="A7" s="97">
        <v>60</v>
      </c>
      <c r="B7" s="98">
        <v>558</v>
      </c>
      <c r="C7" s="5"/>
      <c r="D7" s="5"/>
      <c r="E7" s="7"/>
      <c r="F7" s="85"/>
      <c r="H7" s="97">
        <v>50</v>
      </c>
      <c r="I7" s="98">
        <v>351</v>
      </c>
      <c r="J7" s="5"/>
      <c r="K7" s="5"/>
      <c r="L7" s="5"/>
      <c r="M7" s="5"/>
      <c r="N7" s="85"/>
      <c r="P7" s="83">
        <v>110</v>
      </c>
      <c r="Q7" s="100">
        <v>670</v>
      </c>
      <c r="R7" s="5"/>
      <c r="S7" s="5"/>
      <c r="T7" s="5"/>
      <c r="U7" s="85"/>
      <c r="W7" s="83">
        <v>50</v>
      </c>
      <c r="X7" s="5">
        <v>650</v>
      </c>
      <c r="Y7" s="5"/>
      <c r="Z7" s="5"/>
      <c r="AA7" s="5"/>
      <c r="AB7" s="85"/>
    </row>
    <row r="8" spans="1:28" x14ac:dyDescent="0.2">
      <c r="A8" s="97">
        <v>40</v>
      </c>
      <c r="B8" s="98">
        <v>781</v>
      </c>
      <c r="C8" s="5"/>
      <c r="D8" s="5"/>
      <c r="E8" s="7"/>
      <c r="F8" s="85"/>
      <c r="H8" s="97">
        <v>42</v>
      </c>
      <c r="I8" s="98">
        <v>400</v>
      </c>
      <c r="J8" s="5"/>
      <c r="K8" s="5"/>
      <c r="L8" s="5"/>
      <c r="M8" s="5"/>
      <c r="N8" s="85"/>
      <c r="P8" s="83">
        <v>100</v>
      </c>
      <c r="Q8" s="100">
        <v>710</v>
      </c>
      <c r="R8" s="5"/>
      <c r="S8" s="5"/>
      <c r="T8" s="5"/>
      <c r="U8" s="85"/>
      <c r="W8" s="83">
        <v>40</v>
      </c>
      <c r="X8" s="5">
        <v>788</v>
      </c>
      <c r="Y8" s="5"/>
      <c r="Z8" s="5"/>
      <c r="AA8" s="5"/>
      <c r="AB8" s="85"/>
    </row>
    <row r="9" spans="1:28" x14ac:dyDescent="0.2">
      <c r="A9" s="97">
        <v>30</v>
      </c>
      <c r="B9" s="98">
        <v>1030</v>
      </c>
      <c r="C9" s="5"/>
      <c r="D9" s="5"/>
      <c r="E9" s="7"/>
      <c r="F9" s="85"/>
      <c r="H9" s="97">
        <v>40</v>
      </c>
      <c r="I9" s="98">
        <v>416</v>
      </c>
      <c r="J9" s="5"/>
      <c r="K9" s="5"/>
      <c r="L9" s="5"/>
      <c r="M9" s="5"/>
      <c r="N9" s="85"/>
      <c r="P9" s="83">
        <v>93</v>
      </c>
      <c r="Q9" s="100">
        <v>745</v>
      </c>
      <c r="R9" s="5"/>
      <c r="S9" s="5"/>
      <c r="T9" s="5"/>
      <c r="U9" s="85"/>
      <c r="W9" s="83">
        <v>30</v>
      </c>
      <c r="X9" s="100">
        <v>1029</v>
      </c>
      <c r="Y9" s="5"/>
      <c r="Z9" s="5"/>
      <c r="AA9" s="5"/>
      <c r="AB9" s="85"/>
    </row>
    <row r="10" spans="1:28" x14ac:dyDescent="0.2">
      <c r="A10" s="97">
        <v>26</v>
      </c>
      <c r="B10" s="98">
        <v>1200</v>
      </c>
      <c r="C10" s="5"/>
      <c r="D10" s="5"/>
      <c r="E10" s="7"/>
      <c r="F10" s="85"/>
      <c r="H10" s="97">
        <v>32</v>
      </c>
      <c r="I10" s="98">
        <v>500</v>
      </c>
      <c r="J10" s="5"/>
      <c r="K10" s="5"/>
      <c r="L10" s="5"/>
      <c r="M10" s="5"/>
      <c r="N10" s="85"/>
      <c r="P10" s="83">
        <v>80</v>
      </c>
      <c r="Q10" s="100">
        <v>835</v>
      </c>
      <c r="R10" s="5"/>
      <c r="S10" s="5"/>
      <c r="T10" s="5"/>
      <c r="U10" s="85"/>
      <c r="W10" s="83">
        <v>20</v>
      </c>
      <c r="X10" s="100">
        <v>1585</v>
      </c>
      <c r="Y10" s="5"/>
      <c r="Z10" s="5"/>
      <c r="AA10" s="5"/>
      <c r="AB10" s="85"/>
    </row>
    <row r="11" spans="1:28" x14ac:dyDescent="0.2">
      <c r="A11" s="83"/>
      <c r="B11" s="5"/>
      <c r="C11" s="5"/>
      <c r="D11" s="5"/>
      <c r="E11" s="7"/>
      <c r="F11" s="85"/>
      <c r="H11" s="97">
        <v>30</v>
      </c>
      <c r="I11" s="98">
        <v>533</v>
      </c>
      <c r="J11" s="5"/>
      <c r="K11" s="5"/>
      <c r="L11" s="5"/>
      <c r="M11" s="5"/>
      <c r="N11" s="85"/>
      <c r="P11" s="83">
        <v>70</v>
      </c>
      <c r="Q11" s="100">
        <v>925</v>
      </c>
      <c r="R11" s="5"/>
      <c r="S11" s="5"/>
      <c r="T11" s="5"/>
      <c r="U11" s="85"/>
      <c r="W11" s="83"/>
      <c r="X11" s="100"/>
      <c r="Y11" s="5"/>
      <c r="Z11" s="5"/>
      <c r="AA11" s="5"/>
      <c r="AB11" s="85"/>
    </row>
    <row r="12" spans="1:28" x14ac:dyDescent="0.2">
      <c r="A12" s="386" t="s">
        <v>288</v>
      </c>
      <c r="B12" s="387"/>
      <c r="C12" s="387"/>
      <c r="D12" s="387"/>
      <c r="E12" s="387"/>
      <c r="F12" s="388"/>
      <c r="H12" s="97">
        <v>27</v>
      </c>
      <c r="I12" s="98">
        <v>600</v>
      </c>
      <c r="J12" s="5"/>
      <c r="K12" s="5"/>
      <c r="L12" s="5"/>
      <c r="M12" s="5"/>
      <c r="N12" s="85"/>
      <c r="P12" s="83">
        <v>64</v>
      </c>
      <c r="Q12" s="100">
        <v>1000</v>
      </c>
      <c r="R12" s="5"/>
      <c r="S12" s="5"/>
      <c r="T12" s="5"/>
      <c r="U12" s="85"/>
      <c r="W12" s="389" t="s">
        <v>292</v>
      </c>
      <c r="X12" s="390"/>
      <c r="Y12" s="390"/>
      <c r="Z12" s="390"/>
      <c r="AA12" s="5"/>
      <c r="AB12" s="85"/>
    </row>
    <row r="13" spans="1:28" x14ac:dyDescent="0.2">
      <c r="A13" s="88" t="s">
        <v>281</v>
      </c>
      <c r="B13" s="89" t="s">
        <v>283</v>
      </c>
      <c r="C13" s="89" t="s">
        <v>284</v>
      </c>
      <c r="D13" s="89" t="s">
        <v>282</v>
      </c>
      <c r="E13" s="7"/>
      <c r="F13" s="85"/>
      <c r="H13" s="97">
        <v>23</v>
      </c>
      <c r="I13" s="98">
        <v>700</v>
      </c>
      <c r="J13" s="5"/>
      <c r="K13" s="5"/>
      <c r="L13" s="5"/>
      <c r="M13" s="5"/>
      <c r="N13" s="85"/>
      <c r="P13" s="83">
        <v>60</v>
      </c>
      <c r="Q13" s="100">
        <v>1065</v>
      </c>
      <c r="R13" s="5"/>
      <c r="S13" s="5"/>
      <c r="T13" s="5"/>
      <c r="U13" s="85"/>
      <c r="W13" s="88" t="s">
        <v>281</v>
      </c>
      <c r="X13" s="89" t="s">
        <v>282</v>
      </c>
      <c r="Y13" s="5"/>
      <c r="Z13" s="5"/>
      <c r="AA13" s="5"/>
      <c r="AB13" s="85"/>
    </row>
    <row r="14" spans="1:28" x14ac:dyDescent="0.2">
      <c r="A14" s="90">
        <v>150</v>
      </c>
      <c r="B14" s="91">
        <v>355</v>
      </c>
      <c r="C14" s="91">
        <v>355</v>
      </c>
      <c r="D14" s="91">
        <f>C14</f>
        <v>355</v>
      </c>
      <c r="E14" s="7">
        <v>26</v>
      </c>
      <c r="F14" s="85">
        <v>1200</v>
      </c>
      <c r="H14" s="97">
        <v>20</v>
      </c>
      <c r="I14" s="98">
        <v>800</v>
      </c>
      <c r="J14" s="5"/>
      <c r="K14" s="5"/>
      <c r="L14" s="5"/>
      <c r="M14" s="5"/>
      <c r="N14" s="85"/>
      <c r="P14" s="83">
        <v>50</v>
      </c>
      <c r="Q14" s="100">
        <v>1250</v>
      </c>
      <c r="R14" s="5"/>
      <c r="S14" s="5"/>
      <c r="T14" s="5"/>
      <c r="U14" s="85"/>
      <c r="W14" s="90">
        <v>150</v>
      </c>
      <c r="X14" s="91">
        <v>352</v>
      </c>
      <c r="Y14" s="7">
        <v>20</v>
      </c>
      <c r="Z14" s="101">
        <v>1585</v>
      </c>
      <c r="AA14" s="5"/>
      <c r="AB14" s="85"/>
    </row>
    <row r="15" spans="1:28" x14ac:dyDescent="0.2">
      <c r="A15" s="83">
        <v>149</v>
      </c>
      <c r="B15" s="5">
        <f>B14+0.666666666666667</f>
        <v>355.66666666666669</v>
      </c>
      <c r="C15" s="5">
        <f>ROUND(B15,0.1)</f>
        <v>356</v>
      </c>
      <c r="D15" s="5">
        <f t="shared" ref="D15:D44" si="0">C15</f>
        <v>356</v>
      </c>
      <c r="E15" s="7">
        <v>27</v>
      </c>
      <c r="F15" s="85">
        <v>1150</v>
      </c>
      <c r="H15" s="97">
        <v>17</v>
      </c>
      <c r="I15" s="98">
        <v>900</v>
      </c>
      <c r="J15" s="5"/>
      <c r="K15" s="5"/>
      <c r="L15" s="5"/>
      <c r="M15" s="5"/>
      <c r="N15" s="85"/>
      <c r="P15" s="83">
        <v>41</v>
      </c>
      <c r="Q15" s="100">
        <v>1500</v>
      </c>
      <c r="R15" s="5"/>
      <c r="S15" s="5"/>
      <c r="T15" s="5"/>
      <c r="U15" s="85"/>
      <c r="W15" s="102">
        <v>149</v>
      </c>
      <c r="X15" s="101">
        <v>353</v>
      </c>
      <c r="Y15" s="7">
        <v>21</v>
      </c>
      <c r="Z15" s="101">
        <v>1530</v>
      </c>
      <c r="AA15" s="5"/>
      <c r="AB15" s="85"/>
    </row>
    <row r="16" spans="1:28" x14ac:dyDescent="0.2">
      <c r="A16" s="83">
        <v>148</v>
      </c>
      <c r="B16" s="5">
        <f>B15+0.666666666666666</f>
        <v>356.33333333333337</v>
      </c>
      <c r="C16" s="5">
        <f t="shared" ref="C16:C79" si="1">ROUND(B16,0.1)</f>
        <v>356</v>
      </c>
      <c r="D16" s="5">
        <f t="shared" si="0"/>
        <v>356</v>
      </c>
      <c r="E16" s="7">
        <v>28</v>
      </c>
      <c r="F16" s="85">
        <v>1100</v>
      </c>
      <c r="H16" s="97">
        <v>15</v>
      </c>
      <c r="I16" s="98">
        <v>1000</v>
      </c>
      <c r="J16" s="5"/>
      <c r="K16" s="5"/>
      <c r="L16" s="5"/>
      <c r="M16" s="5"/>
      <c r="N16" s="85"/>
      <c r="P16" s="83">
        <v>35</v>
      </c>
      <c r="Q16" s="100">
        <v>1750</v>
      </c>
      <c r="R16" s="5"/>
      <c r="S16" s="5"/>
      <c r="T16" s="5"/>
      <c r="U16" s="85"/>
      <c r="W16" s="102">
        <v>148</v>
      </c>
      <c r="X16" s="101">
        <v>354</v>
      </c>
      <c r="Y16" s="7">
        <v>22</v>
      </c>
      <c r="Z16" s="101">
        <v>1470</v>
      </c>
      <c r="AA16" s="5"/>
      <c r="AB16" s="85"/>
    </row>
    <row r="17" spans="1:28" x14ac:dyDescent="0.2">
      <c r="A17" s="83">
        <v>147</v>
      </c>
      <c r="B17" s="5">
        <f t="shared" ref="B17" si="2">B16+0.666666666666667</f>
        <v>357.00000000000006</v>
      </c>
      <c r="C17" s="5">
        <f t="shared" si="1"/>
        <v>357</v>
      </c>
      <c r="D17" s="5">
        <f t="shared" si="0"/>
        <v>357</v>
      </c>
      <c r="E17" s="7">
        <v>29</v>
      </c>
      <c r="F17" s="85">
        <v>1061</v>
      </c>
      <c r="H17" s="97">
        <v>14</v>
      </c>
      <c r="I17" s="98">
        <v>1100</v>
      </c>
      <c r="J17" s="5"/>
      <c r="K17" s="5"/>
      <c r="L17" s="5"/>
      <c r="M17" s="5"/>
      <c r="N17" s="85"/>
      <c r="P17" s="83">
        <v>31</v>
      </c>
      <c r="Q17" s="100">
        <v>2000</v>
      </c>
      <c r="R17" s="5"/>
      <c r="S17" s="5"/>
      <c r="T17" s="5"/>
      <c r="U17" s="85"/>
      <c r="W17" s="102">
        <v>147</v>
      </c>
      <c r="X17" s="101">
        <v>354</v>
      </c>
      <c r="Y17" s="7">
        <v>23</v>
      </c>
      <c r="Z17" s="101">
        <v>1405</v>
      </c>
      <c r="AA17" s="5"/>
      <c r="AB17" s="85"/>
    </row>
    <row r="18" spans="1:28" x14ac:dyDescent="0.2">
      <c r="A18" s="83">
        <v>146</v>
      </c>
      <c r="B18" s="5">
        <f t="shared" ref="B18" si="3">B17+0.666666666666666</f>
        <v>357.66666666666674</v>
      </c>
      <c r="C18" s="5">
        <f t="shared" si="1"/>
        <v>358</v>
      </c>
      <c r="D18" s="5">
        <f t="shared" si="0"/>
        <v>358</v>
      </c>
      <c r="E18" s="7">
        <v>30</v>
      </c>
      <c r="F18" s="85">
        <v>1030</v>
      </c>
      <c r="H18" s="83"/>
      <c r="I18" s="5"/>
      <c r="J18" s="5"/>
      <c r="K18" s="5"/>
      <c r="L18" s="5"/>
      <c r="M18" s="5"/>
      <c r="N18" s="85"/>
      <c r="P18" s="83">
        <v>30</v>
      </c>
      <c r="Q18" s="100">
        <v>2087</v>
      </c>
      <c r="R18" s="5"/>
      <c r="S18" s="5"/>
      <c r="T18" s="5"/>
      <c r="U18" s="85"/>
      <c r="W18" s="102">
        <v>146</v>
      </c>
      <c r="X18" s="101">
        <v>355</v>
      </c>
      <c r="Y18" s="7">
        <v>24</v>
      </c>
      <c r="Z18" s="101">
        <v>1350</v>
      </c>
      <c r="AA18" s="5"/>
      <c r="AB18" s="85"/>
    </row>
    <row r="19" spans="1:28" x14ac:dyDescent="0.2">
      <c r="A19" s="83">
        <v>145</v>
      </c>
      <c r="B19" s="5">
        <f t="shared" ref="B19" si="4">B18+0.666666666666667</f>
        <v>358.33333333333343</v>
      </c>
      <c r="C19" s="5">
        <f t="shared" si="1"/>
        <v>358</v>
      </c>
      <c r="D19" s="5">
        <f t="shared" si="0"/>
        <v>358</v>
      </c>
      <c r="E19" s="7">
        <v>31</v>
      </c>
      <c r="F19" s="85">
        <v>990</v>
      </c>
      <c r="H19" s="83"/>
      <c r="I19" s="5"/>
      <c r="J19" s="5"/>
      <c r="K19" s="5"/>
      <c r="L19" s="5"/>
      <c r="M19" s="5"/>
      <c r="N19" s="85"/>
      <c r="P19" s="83">
        <v>28</v>
      </c>
      <c r="Q19" s="100">
        <v>2250</v>
      </c>
      <c r="R19" s="5"/>
      <c r="S19" s="5"/>
      <c r="T19" s="5"/>
      <c r="U19" s="85"/>
      <c r="W19" s="102">
        <v>145</v>
      </c>
      <c r="X19" s="101">
        <v>356</v>
      </c>
      <c r="Y19" s="7">
        <v>25</v>
      </c>
      <c r="Z19" s="101">
        <v>1285</v>
      </c>
      <c r="AA19" s="5"/>
      <c r="AB19" s="85"/>
    </row>
    <row r="20" spans="1:28" x14ac:dyDescent="0.2">
      <c r="A20" s="83">
        <v>144</v>
      </c>
      <c r="B20" s="5">
        <f t="shared" ref="B20" si="5">B19+0.666666666666666</f>
        <v>359.00000000000011</v>
      </c>
      <c r="C20" s="5">
        <f t="shared" si="1"/>
        <v>359</v>
      </c>
      <c r="D20" s="5">
        <f t="shared" si="0"/>
        <v>359</v>
      </c>
      <c r="E20" s="7">
        <v>32</v>
      </c>
      <c r="F20" s="85">
        <v>965</v>
      </c>
      <c r="H20" s="389" t="s">
        <v>289</v>
      </c>
      <c r="I20" s="390"/>
      <c r="J20" s="390"/>
      <c r="K20" s="390"/>
      <c r="L20" s="94"/>
      <c r="M20" s="94"/>
      <c r="N20" s="85"/>
      <c r="P20" s="83"/>
      <c r="Q20" s="5"/>
      <c r="R20" s="5"/>
      <c r="S20" s="5"/>
      <c r="T20" s="5"/>
      <c r="U20" s="85"/>
      <c r="W20" s="102">
        <v>144</v>
      </c>
      <c r="X20" s="101">
        <v>357</v>
      </c>
      <c r="Y20" s="7">
        <v>26</v>
      </c>
      <c r="Z20" s="101">
        <v>1230</v>
      </c>
      <c r="AA20" s="5"/>
      <c r="AB20" s="85"/>
    </row>
    <row r="21" spans="1:28" x14ac:dyDescent="0.2">
      <c r="A21" s="83">
        <v>143</v>
      </c>
      <c r="B21" s="5">
        <f t="shared" ref="B21" si="6">B20+0.666666666666667</f>
        <v>359.6666666666668</v>
      </c>
      <c r="C21" s="5">
        <f t="shared" si="1"/>
        <v>360</v>
      </c>
      <c r="D21" s="5">
        <f t="shared" si="0"/>
        <v>360</v>
      </c>
      <c r="E21" s="7">
        <v>33</v>
      </c>
      <c r="F21" s="85">
        <v>935</v>
      </c>
      <c r="H21" s="88" t="s">
        <v>281</v>
      </c>
      <c r="I21" s="89" t="s">
        <v>282</v>
      </c>
      <c r="J21" s="5"/>
      <c r="K21" s="5"/>
      <c r="L21" s="5"/>
      <c r="M21" s="5"/>
      <c r="N21" s="85"/>
      <c r="P21" s="83"/>
      <c r="Q21" s="5"/>
      <c r="R21" s="5"/>
      <c r="S21" s="5"/>
      <c r="T21" s="5"/>
      <c r="U21" s="85"/>
      <c r="W21" s="102">
        <v>143</v>
      </c>
      <c r="X21" s="101">
        <v>358</v>
      </c>
      <c r="Y21" s="7">
        <v>27</v>
      </c>
      <c r="Z21" s="101">
        <v>1175</v>
      </c>
      <c r="AA21" s="5"/>
      <c r="AB21" s="85"/>
    </row>
    <row r="22" spans="1:28" x14ac:dyDescent="0.2">
      <c r="A22" s="83">
        <v>142</v>
      </c>
      <c r="B22" s="5">
        <f t="shared" ref="B22" si="7">B21+0.666666666666666</f>
        <v>360.33333333333348</v>
      </c>
      <c r="C22" s="5">
        <f t="shared" si="1"/>
        <v>360</v>
      </c>
      <c r="D22" s="5">
        <f t="shared" si="0"/>
        <v>360</v>
      </c>
      <c r="E22" s="7">
        <v>34</v>
      </c>
      <c r="F22" s="85">
        <v>910</v>
      </c>
      <c r="H22" s="90">
        <v>110</v>
      </c>
      <c r="I22" s="91">
        <v>247</v>
      </c>
      <c r="J22" s="7">
        <v>14</v>
      </c>
      <c r="K22" s="7">
        <v>1100</v>
      </c>
      <c r="L22" s="5"/>
      <c r="M22" s="5"/>
      <c r="N22" s="85"/>
      <c r="P22" s="389" t="s">
        <v>291</v>
      </c>
      <c r="Q22" s="390"/>
      <c r="R22" s="390"/>
      <c r="S22" s="390"/>
      <c r="T22" s="5"/>
      <c r="U22" s="85"/>
      <c r="W22" s="102">
        <v>142</v>
      </c>
      <c r="X22" s="101">
        <v>359</v>
      </c>
      <c r="Y22" s="7">
        <v>28</v>
      </c>
      <c r="Z22" s="101">
        <v>1125</v>
      </c>
      <c r="AA22" s="5"/>
      <c r="AB22" s="85"/>
    </row>
    <row r="23" spans="1:28" x14ac:dyDescent="0.2">
      <c r="A23" s="83">
        <v>141</v>
      </c>
      <c r="B23" s="5">
        <f t="shared" ref="B23" si="8">B22+0.666666666666667</f>
        <v>361.00000000000017</v>
      </c>
      <c r="C23" s="5">
        <f t="shared" si="1"/>
        <v>361</v>
      </c>
      <c r="D23" s="5">
        <f t="shared" si="0"/>
        <v>361</v>
      </c>
      <c r="E23" s="7">
        <v>35</v>
      </c>
      <c r="F23" s="85">
        <v>882</v>
      </c>
      <c r="H23" s="83">
        <v>109</v>
      </c>
      <c r="I23" s="5">
        <v>248</v>
      </c>
      <c r="J23" s="7">
        <v>15</v>
      </c>
      <c r="K23" s="7">
        <v>1000</v>
      </c>
      <c r="L23" s="5"/>
      <c r="M23" s="5"/>
      <c r="N23" s="85"/>
      <c r="P23" s="88" t="s">
        <v>281</v>
      </c>
      <c r="Q23" s="89" t="s">
        <v>282</v>
      </c>
      <c r="R23" s="5"/>
      <c r="S23" s="5"/>
      <c r="T23" s="5"/>
      <c r="U23" s="85"/>
      <c r="W23" s="102">
        <v>141</v>
      </c>
      <c r="X23" s="101">
        <v>360</v>
      </c>
      <c r="Y23" s="7">
        <v>29</v>
      </c>
      <c r="Z23" s="101">
        <v>1075</v>
      </c>
      <c r="AA23" s="5"/>
      <c r="AB23" s="85"/>
    </row>
    <row r="24" spans="1:28" x14ac:dyDescent="0.2">
      <c r="A24" s="83">
        <v>140</v>
      </c>
      <c r="B24" s="5">
        <f t="shared" ref="B24" si="9">B23+0.666666666666666</f>
        <v>361.66666666666686</v>
      </c>
      <c r="C24" s="5">
        <f t="shared" si="1"/>
        <v>362</v>
      </c>
      <c r="D24" s="5">
        <f t="shared" si="0"/>
        <v>362</v>
      </c>
      <c r="E24" s="7">
        <v>36</v>
      </c>
      <c r="F24" s="85">
        <v>858</v>
      </c>
      <c r="H24" s="83">
        <v>108</v>
      </c>
      <c r="I24" s="5">
        <v>249</v>
      </c>
      <c r="J24" s="7">
        <v>16</v>
      </c>
      <c r="K24" s="7">
        <v>950</v>
      </c>
      <c r="L24" s="5"/>
      <c r="M24" s="5"/>
      <c r="N24" s="85"/>
      <c r="P24" s="90">
        <v>150</v>
      </c>
      <c r="Q24" s="91">
        <v>560</v>
      </c>
      <c r="R24" s="7">
        <v>28</v>
      </c>
      <c r="S24" s="101">
        <v>2250</v>
      </c>
      <c r="T24" s="5"/>
      <c r="U24" s="85"/>
      <c r="W24" s="102">
        <v>140</v>
      </c>
      <c r="X24" s="101">
        <v>360</v>
      </c>
      <c r="Y24" s="7">
        <v>30</v>
      </c>
      <c r="Z24" s="101">
        <v>1029</v>
      </c>
      <c r="AA24" s="5"/>
      <c r="AB24" s="85"/>
    </row>
    <row r="25" spans="1:28" x14ac:dyDescent="0.2">
      <c r="A25" s="83">
        <v>139</v>
      </c>
      <c r="B25" s="5">
        <f t="shared" ref="B25" si="10">B24+0.666666666666667</f>
        <v>362.33333333333354</v>
      </c>
      <c r="C25" s="5">
        <f t="shared" si="1"/>
        <v>362</v>
      </c>
      <c r="D25" s="5">
        <f t="shared" si="0"/>
        <v>362</v>
      </c>
      <c r="E25" s="7">
        <v>37</v>
      </c>
      <c r="F25" s="85">
        <v>835</v>
      </c>
      <c r="H25" s="83">
        <v>107</v>
      </c>
      <c r="I25" s="5">
        <v>250</v>
      </c>
      <c r="J25" s="7">
        <v>17</v>
      </c>
      <c r="K25" s="7">
        <v>900</v>
      </c>
      <c r="L25" s="5"/>
      <c r="M25" s="5"/>
      <c r="N25" s="85"/>
      <c r="P25" s="83">
        <v>149</v>
      </c>
      <c r="Q25" s="5">
        <v>563</v>
      </c>
      <c r="R25" s="7">
        <v>29</v>
      </c>
      <c r="S25" s="7">
        <v>2175</v>
      </c>
      <c r="T25" s="5"/>
      <c r="U25" s="85"/>
      <c r="W25" s="102">
        <v>139</v>
      </c>
      <c r="X25" s="101">
        <v>361</v>
      </c>
      <c r="Y25" s="7">
        <v>31</v>
      </c>
      <c r="Z25" s="101">
        <v>990</v>
      </c>
      <c r="AA25" s="5"/>
      <c r="AB25" s="85"/>
    </row>
    <row r="26" spans="1:28" x14ac:dyDescent="0.2">
      <c r="A26" s="83">
        <v>138</v>
      </c>
      <c r="B26" s="5">
        <f t="shared" ref="B26" si="11">B25+0.666666666666666</f>
        <v>363.00000000000023</v>
      </c>
      <c r="C26" s="5">
        <f t="shared" si="1"/>
        <v>363</v>
      </c>
      <c r="D26" s="5">
        <f t="shared" si="0"/>
        <v>363</v>
      </c>
      <c r="E26" s="7">
        <v>38</v>
      </c>
      <c r="F26" s="85">
        <v>816</v>
      </c>
      <c r="H26" s="83">
        <v>106</v>
      </c>
      <c r="I26" s="5">
        <v>250</v>
      </c>
      <c r="J26" s="7">
        <v>18</v>
      </c>
      <c r="K26" s="7">
        <v>866</v>
      </c>
      <c r="L26" s="5"/>
      <c r="M26" s="5"/>
      <c r="N26" s="85"/>
      <c r="P26" s="83">
        <v>148</v>
      </c>
      <c r="Q26" s="5">
        <v>566</v>
      </c>
      <c r="R26" s="7">
        <v>30</v>
      </c>
      <c r="S26" s="101">
        <v>2087</v>
      </c>
      <c r="T26" s="5"/>
      <c r="U26" s="85"/>
      <c r="W26" s="102">
        <v>138</v>
      </c>
      <c r="X26" s="101">
        <v>362</v>
      </c>
      <c r="Y26" s="7">
        <v>32</v>
      </c>
      <c r="Z26" s="101">
        <v>960</v>
      </c>
      <c r="AA26" s="5"/>
      <c r="AB26" s="85"/>
    </row>
    <row r="27" spans="1:28" x14ac:dyDescent="0.2">
      <c r="A27" s="83">
        <v>137</v>
      </c>
      <c r="B27" s="5">
        <f t="shared" ref="B27" si="12">B26+0.666666666666667</f>
        <v>363.66666666666691</v>
      </c>
      <c r="C27" s="5">
        <f t="shared" si="1"/>
        <v>364</v>
      </c>
      <c r="D27" s="5">
        <f t="shared" si="0"/>
        <v>364</v>
      </c>
      <c r="E27" s="7">
        <v>39</v>
      </c>
      <c r="F27" s="85">
        <v>799</v>
      </c>
      <c r="H27" s="83">
        <v>105</v>
      </c>
      <c r="I27" s="5">
        <v>251</v>
      </c>
      <c r="J27" s="7">
        <v>19</v>
      </c>
      <c r="K27" s="7">
        <v>833</v>
      </c>
      <c r="L27" s="5"/>
      <c r="M27" s="5"/>
      <c r="N27" s="85"/>
      <c r="P27" s="83">
        <v>147</v>
      </c>
      <c r="Q27" s="5">
        <v>568</v>
      </c>
      <c r="R27" s="7">
        <v>31</v>
      </c>
      <c r="S27" s="101">
        <v>2000</v>
      </c>
      <c r="T27" s="5"/>
      <c r="U27" s="85"/>
      <c r="W27" s="102">
        <v>137</v>
      </c>
      <c r="X27" s="101">
        <v>363</v>
      </c>
      <c r="Y27" s="7">
        <v>33</v>
      </c>
      <c r="Z27" s="101">
        <v>930</v>
      </c>
      <c r="AA27" s="5"/>
      <c r="AB27" s="85"/>
    </row>
    <row r="28" spans="1:28" x14ac:dyDescent="0.2">
      <c r="A28" s="83">
        <v>136</v>
      </c>
      <c r="B28" s="5">
        <f t="shared" ref="B28" si="13">B27+0.666666666666666</f>
        <v>364.3333333333336</v>
      </c>
      <c r="C28" s="5">
        <f t="shared" si="1"/>
        <v>364</v>
      </c>
      <c r="D28" s="5">
        <f t="shared" si="0"/>
        <v>364</v>
      </c>
      <c r="E28" s="7">
        <v>40</v>
      </c>
      <c r="F28" s="85">
        <v>781</v>
      </c>
      <c r="H28" s="83">
        <v>104</v>
      </c>
      <c r="I28" s="5">
        <v>252</v>
      </c>
      <c r="J28" s="7">
        <v>20</v>
      </c>
      <c r="K28" s="7">
        <v>800</v>
      </c>
      <c r="L28" s="5"/>
      <c r="M28" s="5"/>
      <c r="N28" s="85"/>
      <c r="P28" s="83">
        <v>146</v>
      </c>
      <c r="Q28" s="5">
        <v>570</v>
      </c>
      <c r="R28" s="7">
        <v>32</v>
      </c>
      <c r="S28" s="7">
        <v>1930</v>
      </c>
      <c r="T28" s="5"/>
      <c r="U28" s="85"/>
      <c r="W28" s="102">
        <v>136</v>
      </c>
      <c r="X28" s="101">
        <v>363</v>
      </c>
      <c r="Y28" s="7">
        <v>34</v>
      </c>
      <c r="Z28" s="101">
        <v>907</v>
      </c>
      <c r="AA28" s="5"/>
      <c r="AB28" s="85"/>
    </row>
    <row r="29" spans="1:28" x14ac:dyDescent="0.2">
      <c r="A29" s="83">
        <v>135</v>
      </c>
      <c r="B29" s="5">
        <f t="shared" ref="B29" si="14">B28+0.666666666666667</f>
        <v>365.00000000000028</v>
      </c>
      <c r="C29" s="5">
        <f t="shared" si="1"/>
        <v>365</v>
      </c>
      <c r="D29" s="5">
        <f t="shared" si="0"/>
        <v>365</v>
      </c>
      <c r="E29" s="7">
        <v>41</v>
      </c>
      <c r="F29" s="85">
        <v>766</v>
      </c>
      <c r="H29" s="83">
        <v>103</v>
      </c>
      <c r="I29" s="5">
        <v>252</v>
      </c>
      <c r="J29" s="7">
        <v>21</v>
      </c>
      <c r="K29" s="7">
        <v>766</v>
      </c>
      <c r="L29" s="5"/>
      <c r="M29" s="5"/>
      <c r="N29" s="85"/>
      <c r="P29" s="83">
        <v>145</v>
      </c>
      <c r="Q29" s="5">
        <v>572</v>
      </c>
      <c r="R29" s="7">
        <v>33</v>
      </c>
      <c r="S29" s="7">
        <v>1862</v>
      </c>
      <c r="T29" s="5"/>
      <c r="U29" s="85"/>
      <c r="W29" s="102">
        <v>135</v>
      </c>
      <c r="X29" s="101">
        <v>364</v>
      </c>
      <c r="Y29" s="7">
        <v>35</v>
      </c>
      <c r="Z29" s="101">
        <v>885</v>
      </c>
      <c r="AA29" s="5"/>
      <c r="AB29" s="85"/>
    </row>
    <row r="30" spans="1:28" x14ac:dyDescent="0.2">
      <c r="A30" s="83">
        <v>134</v>
      </c>
      <c r="B30" s="5">
        <f t="shared" ref="B30" si="15">B29+0.666666666666666</f>
        <v>365.66666666666697</v>
      </c>
      <c r="C30" s="5">
        <f t="shared" si="1"/>
        <v>366</v>
      </c>
      <c r="D30" s="5">
        <f t="shared" si="0"/>
        <v>366</v>
      </c>
      <c r="E30" s="7">
        <v>42</v>
      </c>
      <c r="F30" s="85">
        <v>750</v>
      </c>
      <c r="H30" s="83">
        <v>102</v>
      </c>
      <c r="I30" s="5">
        <v>253</v>
      </c>
      <c r="J30" s="7">
        <v>22</v>
      </c>
      <c r="K30" s="7">
        <v>733</v>
      </c>
      <c r="L30" s="5"/>
      <c r="M30" s="5"/>
      <c r="N30" s="85"/>
      <c r="P30" s="83">
        <v>144</v>
      </c>
      <c r="Q30" s="5">
        <v>575</v>
      </c>
      <c r="R30" s="7">
        <v>34</v>
      </c>
      <c r="S30" s="7">
        <v>1808</v>
      </c>
      <c r="T30" s="5"/>
      <c r="U30" s="85"/>
      <c r="W30" s="102">
        <v>134</v>
      </c>
      <c r="X30" s="101">
        <v>365</v>
      </c>
      <c r="Y30" s="7">
        <v>36</v>
      </c>
      <c r="Z30" s="101">
        <v>865</v>
      </c>
      <c r="AA30" s="5"/>
      <c r="AB30" s="85"/>
    </row>
    <row r="31" spans="1:28" x14ac:dyDescent="0.2">
      <c r="A31" s="83">
        <v>133</v>
      </c>
      <c r="B31" s="5">
        <f t="shared" ref="B31" si="16">B30+0.666666666666667</f>
        <v>366.33333333333366</v>
      </c>
      <c r="C31" s="5">
        <f t="shared" si="1"/>
        <v>366</v>
      </c>
      <c r="D31" s="5">
        <f t="shared" si="0"/>
        <v>366</v>
      </c>
      <c r="E31" s="7">
        <v>43</v>
      </c>
      <c r="F31" s="85">
        <v>737</v>
      </c>
      <c r="H31" s="83">
        <v>101</v>
      </c>
      <c r="I31" s="5">
        <v>254</v>
      </c>
      <c r="J31" s="7">
        <v>23</v>
      </c>
      <c r="K31" s="7">
        <v>700</v>
      </c>
      <c r="L31" s="5"/>
      <c r="M31" s="5"/>
      <c r="N31" s="85"/>
      <c r="P31" s="83">
        <v>143</v>
      </c>
      <c r="Q31" s="5">
        <v>578</v>
      </c>
      <c r="R31" s="7">
        <v>35</v>
      </c>
      <c r="S31" s="101">
        <v>1750</v>
      </c>
      <c r="T31" s="5"/>
      <c r="U31" s="85"/>
      <c r="W31" s="102">
        <v>133</v>
      </c>
      <c r="X31" s="101">
        <v>365</v>
      </c>
      <c r="Y31" s="7">
        <v>37</v>
      </c>
      <c r="Z31" s="101">
        <v>845</v>
      </c>
      <c r="AA31" s="5"/>
      <c r="AB31" s="85"/>
    </row>
    <row r="32" spans="1:28" x14ac:dyDescent="0.2">
      <c r="A32" s="83">
        <v>132</v>
      </c>
      <c r="B32" s="5">
        <f t="shared" ref="B32" si="17">B31+0.666666666666666</f>
        <v>367.00000000000034</v>
      </c>
      <c r="C32" s="5">
        <f t="shared" si="1"/>
        <v>367</v>
      </c>
      <c r="D32" s="5">
        <f t="shared" si="0"/>
        <v>367</v>
      </c>
      <c r="E32" s="7">
        <v>44</v>
      </c>
      <c r="F32" s="85">
        <v>725</v>
      </c>
      <c r="H32" s="83">
        <v>100</v>
      </c>
      <c r="I32" s="5">
        <v>254</v>
      </c>
      <c r="J32" s="7">
        <v>24</v>
      </c>
      <c r="K32" s="7">
        <v>675</v>
      </c>
      <c r="L32" s="5"/>
      <c r="M32" s="5"/>
      <c r="N32" s="85"/>
      <c r="P32" s="83">
        <v>142</v>
      </c>
      <c r="Q32" s="5">
        <v>580</v>
      </c>
      <c r="R32" s="7">
        <v>36</v>
      </c>
      <c r="S32" s="7">
        <v>1700</v>
      </c>
      <c r="T32" s="5"/>
      <c r="U32" s="85"/>
      <c r="W32" s="102">
        <v>132</v>
      </c>
      <c r="X32" s="101">
        <v>366</v>
      </c>
      <c r="Y32" s="7">
        <v>38</v>
      </c>
      <c r="Z32" s="101">
        <v>825</v>
      </c>
      <c r="AA32" s="5"/>
      <c r="AB32" s="85"/>
    </row>
    <row r="33" spans="1:28" x14ac:dyDescent="0.2">
      <c r="A33" s="83">
        <v>131</v>
      </c>
      <c r="B33" s="5">
        <f t="shared" ref="B33" si="18">B32+0.666666666666667</f>
        <v>367.66666666666703</v>
      </c>
      <c r="C33" s="5">
        <f t="shared" si="1"/>
        <v>368</v>
      </c>
      <c r="D33" s="5">
        <f t="shared" si="0"/>
        <v>368</v>
      </c>
      <c r="E33" s="7">
        <v>45</v>
      </c>
      <c r="F33" s="85">
        <v>712</v>
      </c>
      <c r="H33" s="83">
        <v>99</v>
      </c>
      <c r="I33" s="5">
        <v>255</v>
      </c>
      <c r="J33" s="7">
        <v>25</v>
      </c>
      <c r="K33" s="7">
        <v>650</v>
      </c>
      <c r="L33" s="5"/>
      <c r="M33" s="5"/>
      <c r="N33" s="85"/>
      <c r="P33" s="83">
        <v>141</v>
      </c>
      <c r="Q33" s="5">
        <v>582</v>
      </c>
      <c r="R33" s="7">
        <v>37</v>
      </c>
      <c r="S33" s="7">
        <v>1654</v>
      </c>
      <c r="T33" s="5"/>
      <c r="U33" s="85"/>
      <c r="W33" s="102">
        <v>131</v>
      </c>
      <c r="X33" s="101">
        <v>367</v>
      </c>
      <c r="Y33" s="7">
        <v>39</v>
      </c>
      <c r="Z33" s="101">
        <v>808</v>
      </c>
      <c r="AA33" s="5"/>
      <c r="AB33" s="85"/>
    </row>
    <row r="34" spans="1:28" x14ac:dyDescent="0.2">
      <c r="A34" s="83">
        <v>130</v>
      </c>
      <c r="B34" s="5">
        <f t="shared" ref="B34" si="19">B33+0.666666666666666</f>
        <v>368.33333333333371</v>
      </c>
      <c r="C34" s="5">
        <f t="shared" si="1"/>
        <v>368</v>
      </c>
      <c r="D34" s="5">
        <f t="shared" si="0"/>
        <v>368</v>
      </c>
      <c r="E34" s="7">
        <v>46</v>
      </c>
      <c r="F34" s="85">
        <v>699</v>
      </c>
      <c r="H34" s="83">
        <v>98</v>
      </c>
      <c r="I34" s="5">
        <v>256</v>
      </c>
      <c r="J34" s="7">
        <v>26</v>
      </c>
      <c r="K34" s="7">
        <v>625</v>
      </c>
      <c r="L34" s="5"/>
      <c r="M34" s="5"/>
      <c r="N34" s="85"/>
      <c r="P34" s="90">
        <v>140</v>
      </c>
      <c r="Q34" s="91">
        <v>585</v>
      </c>
      <c r="R34" s="7">
        <v>38</v>
      </c>
      <c r="S34" s="7">
        <v>1610</v>
      </c>
      <c r="T34" s="5"/>
      <c r="U34" s="85"/>
      <c r="W34" s="102">
        <v>130</v>
      </c>
      <c r="X34" s="101">
        <v>368</v>
      </c>
      <c r="Y34" s="7">
        <v>40</v>
      </c>
      <c r="Z34" s="7">
        <v>788</v>
      </c>
      <c r="AA34" s="5"/>
      <c r="AB34" s="85"/>
    </row>
    <row r="35" spans="1:28" x14ac:dyDescent="0.2">
      <c r="A35" s="83">
        <v>129</v>
      </c>
      <c r="B35" s="5">
        <f t="shared" ref="B35" si="20">B34+0.666666666666667</f>
        <v>369.0000000000004</v>
      </c>
      <c r="C35" s="5">
        <f t="shared" si="1"/>
        <v>369</v>
      </c>
      <c r="D35" s="5">
        <f t="shared" si="0"/>
        <v>369</v>
      </c>
      <c r="E35" s="7">
        <v>47</v>
      </c>
      <c r="F35" s="85">
        <v>687</v>
      </c>
      <c r="H35" s="83">
        <v>97</v>
      </c>
      <c r="I35" s="5">
        <v>257</v>
      </c>
      <c r="J35" s="7">
        <v>27</v>
      </c>
      <c r="K35" s="7">
        <v>600</v>
      </c>
      <c r="L35" s="5"/>
      <c r="M35" s="5"/>
      <c r="N35" s="85"/>
      <c r="P35" s="83">
        <v>139</v>
      </c>
      <c r="Q35" s="5">
        <v>588</v>
      </c>
      <c r="R35" s="7">
        <v>39</v>
      </c>
      <c r="S35" s="7">
        <v>1572</v>
      </c>
      <c r="T35" s="5"/>
      <c r="U35" s="85"/>
      <c r="W35" s="102">
        <v>129</v>
      </c>
      <c r="X35" s="101">
        <v>369</v>
      </c>
      <c r="Y35" s="7">
        <v>41</v>
      </c>
      <c r="Z35" s="101">
        <v>769</v>
      </c>
      <c r="AA35" s="5"/>
      <c r="AB35" s="85"/>
    </row>
    <row r="36" spans="1:28" x14ac:dyDescent="0.2">
      <c r="A36" s="83">
        <v>128</v>
      </c>
      <c r="B36" s="5">
        <f t="shared" ref="B36" si="21">B35+0.666666666666666</f>
        <v>369.66666666666708</v>
      </c>
      <c r="C36" s="5">
        <f t="shared" si="1"/>
        <v>370</v>
      </c>
      <c r="D36" s="5">
        <f t="shared" si="0"/>
        <v>370</v>
      </c>
      <c r="E36" s="7">
        <v>48</v>
      </c>
      <c r="F36" s="85">
        <v>676</v>
      </c>
      <c r="H36" s="83">
        <v>96</v>
      </c>
      <c r="I36" s="5">
        <v>257</v>
      </c>
      <c r="J36" s="7">
        <v>28</v>
      </c>
      <c r="K36" s="7">
        <v>577</v>
      </c>
      <c r="L36" s="5"/>
      <c r="M36" s="5"/>
      <c r="N36" s="85"/>
      <c r="P36" s="83">
        <v>138</v>
      </c>
      <c r="Q36" s="5">
        <v>590</v>
      </c>
      <c r="R36" s="7">
        <v>40</v>
      </c>
      <c r="S36" s="7">
        <v>1536</v>
      </c>
      <c r="T36" s="5"/>
      <c r="U36" s="85"/>
      <c r="W36" s="102">
        <v>128</v>
      </c>
      <c r="X36" s="101">
        <v>370</v>
      </c>
      <c r="Y36" s="7">
        <v>42</v>
      </c>
      <c r="Z36" s="101">
        <v>750</v>
      </c>
      <c r="AA36" s="5"/>
      <c r="AB36" s="85"/>
    </row>
    <row r="37" spans="1:28" x14ac:dyDescent="0.2">
      <c r="A37" s="83">
        <v>127</v>
      </c>
      <c r="B37" s="5">
        <f t="shared" ref="B37" si="22">B36+0.666666666666667</f>
        <v>370.33333333333377</v>
      </c>
      <c r="C37" s="5">
        <f t="shared" si="1"/>
        <v>370</v>
      </c>
      <c r="D37" s="5">
        <f t="shared" si="0"/>
        <v>370</v>
      </c>
      <c r="E37" s="7">
        <v>49</v>
      </c>
      <c r="F37" s="85">
        <v>665</v>
      </c>
      <c r="H37" s="83">
        <v>95</v>
      </c>
      <c r="I37" s="5">
        <v>258</v>
      </c>
      <c r="J37" s="7">
        <v>29</v>
      </c>
      <c r="K37" s="7">
        <v>556</v>
      </c>
      <c r="L37" s="5"/>
      <c r="M37" s="5"/>
      <c r="N37" s="85"/>
      <c r="P37" s="83">
        <v>137</v>
      </c>
      <c r="Q37" s="5">
        <v>592</v>
      </c>
      <c r="R37" s="7">
        <v>41</v>
      </c>
      <c r="S37" s="101">
        <v>1500</v>
      </c>
      <c r="T37" s="5"/>
      <c r="U37" s="85"/>
      <c r="W37" s="102">
        <v>127</v>
      </c>
      <c r="X37" s="101">
        <v>371</v>
      </c>
      <c r="Y37" s="7">
        <v>43</v>
      </c>
      <c r="Z37" s="101">
        <v>735</v>
      </c>
      <c r="AA37" s="5"/>
      <c r="AB37" s="85"/>
    </row>
    <row r="38" spans="1:28" x14ac:dyDescent="0.2">
      <c r="A38" s="83">
        <v>126</v>
      </c>
      <c r="B38" s="5">
        <f t="shared" ref="B38" si="23">B37+0.666666666666666</f>
        <v>371.00000000000045</v>
      </c>
      <c r="C38" s="5">
        <f t="shared" si="1"/>
        <v>371</v>
      </c>
      <c r="D38" s="5">
        <f t="shared" si="0"/>
        <v>371</v>
      </c>
      <c r="E38" s="7">
        <v>50</v>
      </c>
      <c r="F38" s="85">
        <v>654</v>
      </c>
      <c r="H38" s="83">
        <v>94</v>
      </c>
      <c r="I38" s="5">
        <v>259</v>
      </c>
      <c r="J38" s="7">
        <v>30</v>
      </c>
      <c r="K38" s="7">
        <v>533</v>
      </c>
      <c r="L38" s="5"/>
      <c r="M38" s="5"/>
      <c r="N38" s="85"/>
      <c r="P38" s="83">
        <v>136</v>
      </c>
      <c r="Q38" s="5">
        <v>594</v>
      </c>
      <c r="R38" s="7">
        <v>42</v>
      </c>
      <c r="S38" s="7">
        <v>1467</v>
      </c>
      <c r="T38" s="5"/>
      <c r="U38" s="85"/>
      <c r="W38" s="102">
        <v>126</v>
      </c>
      <c r="X38" s="101">
        <v>372</v>
      </c>
      <c r="Y38" s="7">
        <v>44</v>
      </c>
      <c r="Z38" s="101">
        <v>720</v>
      </c>
      <c r="AA38" s="5"/>
      <c r="AB38" s="85"/>
    </row>
    <row r="39" spans="1:28" x14ac:dyDescent="0.2">
      <c r="A39" s="83">
        <v>125</v>
      </c>
      <c r="B39" s="5">
        <f t="shared" ref="B39" si="24">B38+0.666666666666667</f>
        <v>371.66666666666714</v>
      </c>
      <c r="C39" s="5">
        <f t="shared" si="1"/>
        <v>372</v>
      </c>
      <c r="D39" s="5">
        <f t="shared" si="0"/>
        <v>372</v>
      </c>
      <c r="E39" s="7">
        <v>51</v>
      </c>
      <c r="F39" s="85">
        <v>643</v>
      </c>
      <c r="H39" s="83">
        <v>93</v>
      </c>
      <c r="I39" s="5">
        <v>260</v>
      </c>
      <c r="J39" s="7">
        <v>31</v>
      </c>
      <c r="K39" s="7">
        <v>514</v>
      </c>
      <c r="L39" s="5"/>
      <c r="M39" s="5"/>
      <c r="N39" s="85"/>
      <c r="P39" s="83">
        <v>135</v>
      </c>
      <c r="Q39" s="5">
        <v>597</v>
      </c>
      <c r="R39" s="7">
        <v>43</v>
      </c>
      <c r="S39" s="7">
        <v>1437</v>
      </c>
      <c r="T39" s="5"/>
      <c r="U39" s="85"/>
      <c r="W39" s="102">
        <v>125</v>
      </c>
      <c r="X39" s="101">
        <v>373</v>
      </c>
      <c r="Y39" s="7">
        <v>45</v>
      </c>
      <c r="Z39" s="101">
        <v>706</v>
      </c>
      <c r="AA39" s="5"/>
      <c r="AB39" s="85"/>
    </row>
    <row r="40" spans="1:28" x14ac:dyDescent="0.2">
      <c r="A40" s="83">
        <v>124</v>
      </c>
      <c r="B40" s="5">
        <f t="shared" ref="B40" si="25">B39+0.666666666666666</f>
        <v>372.33333333333383</v>
      </c>
      <c r="C40" s="5">
        <f t="shared" si="1"/>
        <v>372</v>
      </c>
      <c r="D40" s="5">
        <f t="shared" si="0"/>
        <v>372</v>
      </c>
      <c r="E40" s="7">
        <v>52</v>
      </c>
      <c r="F40" s="85">
        <v>633</v>
      </c>
      <c r="H40" s="83">
        <v>92</v>
      </c>
      <c r="I40" s="5">
        <v>261</v>
      </c>
      <c r="J40" s="7">
        <v>32</v>
      </c>
      <c r="K40" s="7">
        <v>500</v>
      </c>
      <c r="L40" s="5"/>
      <c r="M40" s="5"/>
      <c r="N40" s="85"/>
      <c r="P40" s="83">
        <v>134</v>
      </c>
      <c r="Q40" s="5">
        <v>600</v>
      </c>
      <c r="R40" s="7">
        <v>44</v>
      </c>
      <c r="S40" s="7">
        <v>1407</v>
      </c>
      <c r="T40" s="5"/>
      <c r="U40" s="85"/>
      <c r="W40" s="102">
        <v>124</v>
      </c>
      <c r="X40" s="101">
        <v>373</v>
      </c>
      <c r="Y40" s="7">
        <v>46</v>
      </c>
      <c r="Z40" s="101">
        <v>693</v>
      </c>
      <c r="AA40" s="5"/>
      <c r="AB40" s="85"/>
    </row>
    <row r="41" spans="1:28" x14ac:dyDescent="0.2">
      <c r="A41" s="83">
        <v>123</v>
      </c>
      <c r="B41" s="5">
        <f t="shared" ref="B41" si="26">B40+0.666666666666667</f>
        <v>373.00000000000051</v>
      </c>
      <c r="C41" s="5">
        <f t="shared" si="1"/>
        <v>373</v>
      </c>
      <c r="D41" s="5">
        <f t="shared" si="0"/>
        <v>373</v>
      </c>
      <c r="E41" s="7">
        <v>53</v>
      </c>
      <c r="F41" s="85">
        <v>623</v>
      </c>
      <c r="H41" s="83">
        <v>91</v>
      </c>
      <c r="I41" s="5">
        <v>262</v>
      </c>
      <c r="J41" s="7">
        <v>33</v>
      </c>
      <c r="K41" s="7">
        <v>490</v>
      </c>
      <c r="L41" s="5"/>
      <c r="M41" s="5"/>
      <c r="N41" s="85"/>
      <c r="P41" s="83">
        <v>133</v>
      </c>
      <c r="Q41" s="5">
        <v>603</v>
      </c>
      <c r="R41" s="7">
        <v>45</v>
      </c>
      <c r="S41" s="7">
        <v>1377</v>
      </c>
      <c r="T41" s="5"/>
      <c r="U41" s="85"/>
      <c r="W41" s="102">
        <v>123</v>
      </c>
      <c r="X41" s="101">
        <v>374</v>
      </c>
      <c r="Y41" s="7">
        <v>47</v>
      </c>
      <c r="Z41" s="101">
        <v>680</v>
      </c>
      <c r="AA41" s="5"/>
      <c r="AB41" s="85"/>
    </row>
    <row r="42" spans="1:28" x14ac:dyDescent="0.2">
      <c r="A42" s="83">
        <v>122</v>
      </c>
      <c r="B42" s="5">
        <f t="shared" ref="B42" si="27">B41+0.666666666666666</f>
        <v>373.6666666666672</v>
      </c>
      <c r="C42" s="5">
        <f t="shared" si="1"/>
        <v>374</v>
      </c>
      <c r="D42" s="5">
        <f t="shared" si="0"/>
        <v>374</v>
      </c>
      <c r="E42" s="7">
        <v>54</v>
      </c>
      <c r="F42" s="85">
        <v>612</v>
      </c>
      <c r="H42" s="90">
        <v>90</v>
      </c>
      <c r="I42" s="91">
        <v>263</v>
      </c>
      <c r="J42" s="7">
        <v>34</v>
      </c>
      <c r="K42" s="7">
        <v>479</v>
      </c>
      <c r="L42" s="5"/>
      <c r="M42" s="5"/>
      <c r="N42" s="85"/>
      <c r="P42" s="83">
        <v>132</v>
      </c>
      <c r="Q42" s="5">
        <v>605</v>
      </c>
      <c r="R42" s="7">
        <v>46</v>
      </c>
      <c r="S42" s="7">
        <v>1350</v>
      </c>
      <c r="T42" s="5"/>
      <c r="U42" s="85"/>
      <c r="W42" s="102">
        <v>122</v>
      </c>
      <c r="X42" s="101">
        <v>375</v>
      </c>
      <c r="Y42" s="7">
        <v>48</v>
      </c>
      <c r="Z42" s="101">
        <v>670</v>
      </c>
      <c r="AA42" s="5"/>
      <c r="AB42" s="85"/>
    </row>
    <row r="43" spans="1:28" x14ac:dyDescent="0.2">
      <c r="A43" s="83">
        <v>121</v>
      </c>
      <c r="B43" s="5">
        <f t="shared" ref="B43" si="28">B42+0.666666666666667</f>
        <v>374.33333333333388</v>
      </c>
      <c r="C43" s="5">
        <f t="shared" si="1"/>
        <v>374</v>
      </c>
      <c r="D43" s="5">
        <f t="shared" si="0"/>
        <v>374</v>
      </c>
      <c r="E43" s="7">
        <v>55</v>
      </c>
      <c r="F43" s="85">
        <v>602</v>
      </c>
      <c r="H43" s="83">
        <v>89</v>
      </c>
      <c r="I43" s="5">
        <v>264</v>
      </c>
      <c r="J43" s="7">
        <v>35</v>
      </c>
      <c r="K43" s="7">
        <v>468</v>
      </c>
      <c r="L43" s="5"/>
      <c r="M43" s="5"/>
      <c r="N43" s="85"/>
      <c r="P43" s="83">
        <v>131</v>
      </c>
      <c r="Q43" s="5">
        <v>608</v>
      </c>
      <c r="R43" s="7">
        <v>47</v>
      </c>
      <c r="S43" s="7">
        <v>1325</v>
      </c>
      <c r="T43" s="5"/>
      <c r="U43" s="85"/>
      <c r="W43" s="102">
        <v>121</v>
      </c>
      <c r="X43" s="101">
        <v>376</v>
      </c>
      <c r="Y43" s="7">
        <v>49</v>
      </c>
      <c r="Z43" s="101">
        <v>660</v>
      </c>
      <c r="AA43" s="5"/>
      <c r="AB43" s="85"/>
    </row>
    <row r="44" spans="1:28" x14ac:dyDescent="0.2">
      <c r="A44" s="90">
        <v>120</v>
      </c>
      <c r="B44" s="91">
        <v>375</v>
      </c>
      <c r="C44" s="91">
        <v>375</v>
      </c>
      <c r="D44" s="91">
        <f t="shared" si="0"/>
        <v>375</v>
      </c>
      <c r="E44" s="7">
        <v>56</v>
      </c>
      <c r="F44" s="85">
        <v>592</v>
      </c>
      <c r="H44" s="83">
        <v>88</v>
      </c>
      <c r="I44" s="5">
        <v>265</v>
      </c>
      <c r="J44" s="7">
        <v>36</v>
      </c>
      <c r="K44" s="7">
        <v>457</v>
      </c>
      <c r="L44" s="5"/>
      <c r="M44" s="5"/>
      <c r="N44" s="85"/>
      <c r="P44" s="90">
        <v>130</v>
      </c>
      <c r="Q44" s="91">
        <v>610</v>
      </c>
      <c r="R44" s="7">
        <v>48</v>
      </c>
      <c r="S44" s="7">
        <v>1300</v>
      </c>
      <c r="T44" s="5"/>
      <c r="U44" s="85"/>
      <c r="W44" s="90">
        <v>120</v>
      </c>
      <c r="X44" s="91">
        <v>377</v>
      </c>
      <c r="Y44" s="7">
        <v>50</v>
      </c>
      <c r="Z44" s="7">
        <v>650</v>
      </c>
      <c r="AA44" s="5"/>
      <c r="AB44" s="85"/>
    </row>
    <row r="45" spans="1:28" x14ac:dyDescent="0.2">
      <c r="A45" s="83">
        <v>119</v>
      </c>
      <c r="B45" s="5">
        <f>B44+1.25</f>
        <v>376.25</v>
      </c>
      <c r="C45" s="5">
        <f>ROUND(B45,0.1)</f>
        <v>376</v>
      </c>
      <c r="D45" s="5">
        <v>376</v>
      </c>
      <c r="E45" s="7">
        <v>57</v>
      </c>
      <c r="F45" s="85">
        <v>583</v>
      </c>
      <c r="H45" s="83">
        <v>87</v>
      </c>
      <c r="I45" s="5">
        <v>266</v>
      </c>
      <c r="J45" s="7">
        <v>37</v>
      </c>
      <c r="K45" s="7">
        <v>446</v>
      </c>
      <c r="L45" s="5"/>
      <c r="M45" s="5"/>
      <c r="N45" s="85"/>
      <c r="P45" s="83">
        <v>129</v>
      </c>
      <c r="Q45" s="5">
        <v>613</v>
      </c>
      <c r="R45" s="7">
        <v>49</v>
      </c>
      <c r="S45" s="7">
        <v>1275</v>
      </c>
      <c r="T45" s="5"/>
      <c r="U45" s="85"/>
      <c r="W45" s="102">
        <v>119</v>
      </c>
      <c r="X45" s="101">
        <v>378</v>
      </c>
      <c r="Y45" s="7">
        <v>51</v>
      </c>
      <c r="Z45" s="101">
        <v>640</v>
      </c>
      <c r="AA45" s="5"/>
      <c r="AB45" s="85"/>
    </row>
    <row r="46" spans="1:28" x14ac:dyDescent="0.2">
      <c r="A46" s="83">
        <v>118</v>
      </c>
      <c r="B46" s="5">
        <f>B45+1.25</f>
        <v>377.5</v>
      </c>
      <c r="C46" s="5">
        <f t="shared" si="1"/>
        <v>378</v>
      </c>
      <c r="D46" s="5">
        <v>377</v>
      </c>
      <c r="E46" s="7">
        <v>58</v>
      </c>
      <c r="F46" s="85">
        <v>574</v>
      </c>
      <c r="H46" s="83">
        <v>86</v>
      </c>
      <c r="I46" s="5">
        <v>268</v>
      </c>
      <c r="J46" s="7">
        <v>38</v>
      </c>
      <c r="K46" s="7">
        <v>437</v>
      </c>
      <c r="L46" s="5"/>
      <c r="M46" s="5"/>
      <c r="N46" s="85"/>
      <c r="P46" s="83">
        <v>128</v>
      </c>
      <c r="Q46" s="5">
        <v>616</v>
      </c>
      <c r="R46" s="7">
        <v>50</v>
      </c>
      <c r="S46" s="101">
        <v>1250</v>
      </c>
      <c r="T46" s="5"/>
      <c r="U46" s="85"/>
      <c r="W46" s="102">
        <v>118</v>
      </c>
      <c r="X46" s="101">
        <v>379</v>
      </c>
      <c r="Y46" s="7">
        <v>52</v>
      </c>
      <c r="Z46" s="101">
        <v>631</v>
      </c>
      <c r="AA46" s="5"/>
      <c r="AB46" s="85"/>
    </row>
    <row r="47" spans="1:28" x14ac:dyDescent="0.2">
      <c r="A47" s="83">
        <v>117</v>
      </c>
      <c r="B47" s="5">
        <f t="shared" ref="B47:B63" si="29">B46+1.25</f>
        <v>378.75</v>
      </c>
      <c r="C47" s="5">
        <f t="shared" si="1"/>
        <v>379</v>
      </c>
      <c r="D47" s="5">
        <v>378</v>
      </c>
      <c r="E47" s="7">
        <v>59</v>
      </c>
      <c r="F47" s="85">
        <v>566</v>
      </c>
      <c r="H47" s="83">
        <v>85</v>
      </c>
      <c r="I47" s="5">
        <v>269</v>
      </c>
      <c r="J47" s="7">
        <v>39</v>
      </c>
      <c r="K47" s="7">
        <v>426</v>
      </c>
      <c r="L47" s="5"/>
      <c r="M47" s="5"/>
      <c r="N47" s="85"/>
      <c r="P47" s="83">
        <v>127</v>
      </c>
      <c r="Q47" s="5">
        <v>619</v>
      </c>
      <c r="R47" s="7">
        <v>51</v>
      </c>
      <c r="S47" s="7">
        <v>1230</v>
      </c>
      <c r="T47" s="5"/>
      <c r="U47" s="85"/>
      <c r="W47" s="102">
        <v>117</v>
      </c>
      <c r="X47" s="101">
        <v>380</v>
      </c>
      <c r="Y47" s="7">
        <v>53</v>
      </c>
      <c r="Z47" s="101">
        <v>622</v>
      </c>
      <c r="AA47" s="5"/>
      <c r="AB47" s="85"/>
    </row>
    <row r="48" spans="1:28" x14ac:dyDescent="0.2">
      <c r="A48" s="83">
        <v>116</v>
      </c>
      <c r="B48" s="5">
        <f t="shared" si="29"/>
        <v>380</v>
      </c>
      <c r="C48" s="5">
        <f t="shared" si="1"/>
        <v>380</v>
      </c>
      <c r="D48" s="5">
        <v>379</v>
      </c>
      <c r="E48" s="7">
        <v>60</v>
      </c>
      <c r="F48" s="85">
        <v>558</v>
      </c>
      <c r="H48" s="83">
        <v>84</v>
      </c>
      <c r="I48" s="5">
        <v>270</v>
      </c>
      <c r="J48" s="7">
        <v>40</v>
      </c>
      <c r="K48" s="7">
        <v>416</v>
      </c>
      <c r="L48" s="5"/>
      <c r="M48" s="5"/>
      <c r="N48" s="85"/>
      <c r="P48" s="83">
        <v>126</v>
      </c>
      <c r="Q48" s="5">
        <v>622</v>
      </c>
      <c r="R48" s="7">
        <v>52</v>
      </c>
      <c r="S48" s="7">
        <v>1208</v>
      </c>
      <c r="T48" s="5"/>
      <c r="U48" s="85"/>
      <c r="W48" s="102">
        <v>116</v>
      </c>
      <c r="X48" s="101">
        <v>381</v>
      </c>
      <c r="Y48" s="7">
        <v>54</v>
      </c>
      <c r="Z48" s="101">
        <v>613</v>
      </c>
      <c r="AA48" s="5"/>
      <c r="AB48" s="85"/>
    </row>
    <row r="49" spans="1:28" x14ac:dyDescent="0.2">
      <c r="A49" s="83">
        <v>115</v>
      </c>
      <c r="B49" s="5">
        <f t="shared" si="29"/>
        <v>381.25</v>
      </c>
      <c r="C49" s="5">
        <f t="shared" si="1"/>
        <v>381</v>
      </c>
      <c r="D49" s="5">
        <v>380</v>
      </c>
      <c r="E49" s="7">
        <v>61</v>
      </c>
      <c r="F49" s="85">
        <v>550</v>
      </c>
      <c r="H49" s="83">
        <v>83</v>
      </c>
      <c r="I49" s="5">
        <v>271</v>
      </c>
      <c r="J49" s="7">
        <v>41</v>
      </c>
      <c r="K49" s="7">
        <v>408</v>
      </c>
      <c r="L49" s="5"/>
      <c r="M49" s="5"/>
      <c r="N49" s="85"/>
      <c r="P49" s="83">
        <v>125</v>
      </c>
      <c r="Q49" s="5">
        <v>625</v>
      </c>
      <c r="R49" s="7">
        <v>53</v>
      </c>
      <c r="S49" s="7">
        <v>1189</v>
      </c>
      <c r="T49" s="5"/>
      <c r="U49" s="85"/>
      <c r="W49" s="102">
        <v>115</v>
      </c>
      <c r="X49" s="101">
        <v>382</v>
      </c>
      <c r="Y49" s="7">
        <v>55</v>
      </c>
      <c r="Z49" s="101">
        <v>604</v>
      </c>
      <c r="AA49" s="5"/>
      <c r="AB49" s="85"/>
    </row>
    <row r="50" spans="1:28" x14ac:dyDescent="0.2">
      <c r="A50" s="83">
        <v>114</v>
      </c>
      <c r="B50" s="5">
        <f t="shared" si="29"/>
        <v>382.5</v>
      </c>
      <c r="C50" s="5">
        <f t="shared" si="1"/>
        <v>383</v>
      </c>
      <c r="D50" s="5">
        <v>381</v>
      </c>
      <c r="E50" s="7">
        <v>62</v>
      </c>
      <c r="F50" s="85">
        <v>542</v>
      </c>
      <c r="H50" s="83">
        <v>82</v>
      </c>
      <c r="I50" s="5">
        <v>273</v>
      </c>
      <c r="J50" s="7">
        <v>42</v>
      </c>
      <c r="K50" s="7">
        <v>400</v>
      </c>
      <c r="L50" s="5"/>
      <c r="M50" s="5"/>
      <c r="N50" s="85"/>
      <c r="P50" s="83">
        <v>124</v>
      </c>
      <c r="Q50" s="5">
        <v>628</v>
      </c>
      <c r="R50" s="7">
        <v>54</v>
      </c>
      <c r="S50" s="7">
        <v>1171</v>
      </c>
      <c r="T50" s="5"/>
      <c r="U50" s="85"/>
      <c r="W50" s="102">
        <v>114</v>
      </c>
      <c r="X50" s="101">
        <v>383</v>
      </c>
      <c r="Y50" s="7">
        <v>56</v>
      </c>
      <c r="Z50" s="101">
        <v>594</v>
      </c>
      <c r="AA50" s="5"/>
      <c r="AB50" s="85"/>
    </row>
    <row r="51" spans="1:28" x14ac:dyDescent="0.2">
      <c r="A51" s="83">
        <v>113</v>
      </c>
      <c r="B51" s="5">
        <f t="shared" si="29"/>
        <v>383.75</v>
      </c>
      <c r="C51" s="5">
        <f t="shared" si="1"/>
        <v>384</v>
      </c>
      <c r="D51" s="5">
        <v>382</v>
      </c>
      <c r="E51" s="7">
        <v>63</v>
      </c>
      <c r="F51" s="85">
        <v>535</v>
      </c>
      <c r="H51" s="83">
        <v>81</v>
      </c>
      <c r="I51" s="5">
        <v>274</v>
      </c>
      <c r="J51" s="7">
        <v>43</v>
      </c>
      <c r="K51" s="7">
        <v>393</v>
      </c>
      <c r="L51" s="5"/>
      <c r="M51" s="5"/>
      <c r="N51" s="85"/>
      <c r="P51" s="83">
        <v>123</v>
      </c>
      <c r="Q51" s="5">
        <v>631</v>
      </c>
      <c r="R51" s="7">
        <v>55</v>
      </c>
      <c r="S51" s="7">
        <v>1151</v>
      </c>
      <c r="T51" s="5"/>
      <c r="U51" s="85"/>
      <c r="W51" s="102">
        <v>113</v>
      </c>
      <c r="X51" s="101">
        <v>384</v>
      </c>
      <c r="Y51" s="7">
        <v>57</v>
      </c>
      <c r="Z51" s="101">
        <v>586</v>
      </c>
      <c r="AA51" s="5"/>
      <c r="AB51" s="85"/>
    </row>
    <row r="52" spans="1:28" x14ac:dyDescent="0.2">
      <c r="A52" s="83">
        <v>112</v>
      </c>
      <c r="B52" s="5">
        <f t="shared" si="29"/>
        <v>385</v>
      </c>
      <c r="C52" s="5">
        <f t="shared" si="1"/>
        <v>385</v>
      </c>
      <c r="D52" s="5">
        <v>383</v>
      </c>
      <c r="E52" s="7">
        <v>64</v>
      </c>
      <c r="F52" s="85">
        <v>529</v>
      </c>
      <c r="H52" s="83">
        <v>80</v>
      </c>
      <c r="I52" s="5">
        <v>275</v>
      </c>
      <c r="J52" s="7">
        <v>44</v>
      </c>
      <c r="K52" s="7">
        <v>386</v>
      </c>
      <c r="L52" s="5"/>
      <c r="M52" s="5"/>
      <c r="N52" s="85"/>
      <c r="P52" s="83">
        <v>122</v>
      </c>
      <c r="Q52" s="5">
        <v>634</v>
      </c>
      <c r="R52" s="7">
        <v>56</v>
      </c>
      <c r="S52" s="7">
        <v>1133</v>
      </c>
      <c r="T52" s="5"/>
      <c r="U52" s="85"/>
      <c r="W52" s="102">
        <v>112</v>
      </c>
      <c r="X52" s="101">
        <v>386</v>
      </c>
      <c r="Y52" s="7">
        <v>58</v>
      </c>
      <c r="Z52" s="101">
        <v>578</v>
      </c>
      <c r="AA52" s="5"/>
      <c r="AB52" s="85"/>
    </row>
    <row r="53" spans="1:28" x14ac:dyDescent="0.2">
      <c r="A53" s="83">
        <v>111</v>
      </c>
      <c r="B53" s="5">
        <f t="shared" si="29"/>
        <v>386.25</v>
      </c>
      <c r="C53" s="5">
        <f t="shared" si="1"/>
        <v>386</v>
      </c>
      <c r="D53" s="5">
        <v>384</v>
      </c>
      <c r="E53" s="7">
        <v>65</v>
      </c>
      <c r="F53" s="85">
        <v>523</v>
      </c>
      <c r="H53" s="83">
        <v>79</v>
      </c>
      <c r="I53" s="5">
        <v>277</v>
      </c>
      <c r="J53" s="7">
        <v>45</v>
      </c>
      <c r="K53" s="7">
        <v>380</v>
      </c>
      <c r="L53" s="5"/>
      <c r="M53" s="5"/>
      <c r="N53" s="85"/>
      <c r="P53" s="102">
        <v>121</v>
      </c>
      <c r="Q53" s="5">
        <v>637</v>
      </c>
      <c r="R53" s="7">
        <v>57</v>
      </c>
      <c r="S53" s="7">
        <v>1117</v>
      </c>
      <c r="T53" s="5"/>
      <c r="U53" s="85"/>
      <c r="W53" s="102">
        <v>111</v>
      </c>
      <c r="X53" s="101">
        <v>387</v>
      </c>
      <c r="Y53" s="7">
        <v>59</v>
      </c>
      <c r="Z53" s="101">
        <v>570</v>
      </c>
      <c r="AA53" s="5"/>
      <c r="AB53" s="85"/>
    </row>
    <row r="54" spans="1:28" x14ac:dyDescent="0.2">
      <c r="A54" s="83">
        <v>110</v>
      </c>
      <c r="B54" s="5">
        <f t="shared" si="29"/>
        <v>387.5</v>
      </c>
      <c r="C54" s="5">
        <f t="shared" si="1"/>
        <v>388</v>
      </c>
      <c r="D54" s="5">
        <v>385</v>
      </c>
      <c r="E54" s="7">
        <v>66</v>
      </c>
      <c r="F54" s="85">
        <v>517</v>
      </c>
      <c r="H54" s="83">
        <v>78</v>
      </c>
      <c r="I54" s="5">
        <v>278</v>
      </c>
      <c r="J54" s="7">
        <v>46</v>
      </c>
      <c r="K54" s="7">
        <v>373</v>
      </c>
      <c r="L54" s="5"/>
      <c r="M54" s="5"/>
      <c r="N54" s="85"/>
      <c r="P54" s="90">
        <v>120</v>
      </c>
      <c r="Q54" s="91">
        <v>640</v>
      </c>
      <c r="R54" s="7">
        <v>58</v>
      </c>
      <c r="S54" s="7">
        <v>1101</v>
      </c>
      <c r="T54" s="5"/>
      <c r="U54" s="85"/>
      <c r="W54" s="102">
        <v>110</v>
      </c>
      <c r="X54" s="101">
        <v>388</v>
      </c>
      <c r="Y54" s="7">
        <v>60</v>
      </c>
      <c r="Z54" s="101">
        <v>562</v>
      </c>
      <c r="AA54" s="5"/>
      <c r="AB54" s="85"/>
    </row>
    <row r="55" spans="1:28" x14ac:dyDescent="0.2">
      <c r="A55" s="83">
        <v>109</v>
      </c>
      <c r="B55" s="5">
        <f t="shared" si="29"/>
        <v>388.75</v>
      </c>
      <c r="C55" s="5">
        <f t="shared" si="1"/>
        <v>389</v>
      </c>
      <c r="D55" s="5">
        <v>386</v>
      </c>
      <c r="E55" s="7">
        <v>67</v>
      </c>
      <c r="F55" s="85">
        <v>511</v>
      </c>
      <c r="H55" s="83">
        <v>77</v>
      </c>
      <c r="I55" s="5">
        <v>279</v>
      </c>
      <c r="J55" s="7">
        <v>47</v>
      </c>
      <c r="K55" s="7">
        <v>367</v>
      </c>
      <c r="L55" s="5"/>
      <c r="M55" s="5"/>
      <c r="N55" s="85"/>
      <c r="P55" s="102">
        <v>119</v>
      </c>
      <c r="Q55" s="5">
        <v>643</v>
      </c>
      <c r="R55" s="7">
        <v>59</v>
      </c>
      <c r="S55" s="7">
        <v>1082</v>
      </c>
      <c r="T55" s="5"/>
      <c r="U55" s="85"/>
      <c r="W55" s="102">
        <v>109</v>
      </c>
      <c r="X55" s="101">
        <v>390</v>
      </c>
      <c r="Y55" s="7">
        <v>61</v>
      </c>
      <c r="Z55" s="101">
        <v>555</v>
      </c>
      <c r="AA55" s="5"/>
      <c r="AB55" s="85"/>
    </row>
    <row r="56" spans="1:28" x14ac:dyDescent="0.2">
      <c r="A56" s="83">
        <v>108</v>
      </c>
      <c r="B56" s="5">
        <f t="shared" si="29"/>
        <v>390</v>
      </c>
      <c r="C56" s="5">
        <f t="shared" si="1"/>
        <v>390</v>
      </c>
      <c r="D56" s="5">
        <v>387</v>
      </c>
      <c r="E56" s="7">
        <v>68</v>
      </c>
      <c r="F56" s="85">
        <v>506</v>
      </c>
      <c r="H56" s="83">
        <v>76</v>
      </c>
      <c r="I56" s="5">
        <v>280</v>
      </c>
      <c r="J56" s="7">
        <v>48</v>
      </c>
      <c r="K56" s="7">
        <v>361</v>
      </c>
      <c r="L56" s="5"/>
      <c r="M56" s="5"/>
      <c r="N56" s="85"/>
      <c r="P56" s="102">
        <v>118</v>
      </c>
      <c r="Q56" s="5">
        <v>646</v>
      </c>
      <c r="R56" s="7">
        <v>60</v>
      </c>
      <c r="S56" s="101">
        <v>1065</v>
      </c>
      <c r="T56" s="5"/>
      <c r="U56" s="85"/>
      <c r="W56" s="102">
        <v>108</v>
      </c>
      <c r="X56" s="101">
        <v>391</v>
      </c>
      <c r="Y56" s="7">
        <v>62</v>
      </c>
      <c r="Z56" s="101">
        <v>548</v>
      </c>
      <c r="AA56" s="5"/>
      <c r="AB56" s="85"/>
    </row>
    <row r="57" spans="1:28" x14ac:dyDescent="0.2">
      <c r="A57" s="83">
        <v>107</v>
      </c>
      <c r="B57" s="5">
        <f t="shared" si="29"/>
        <v>391.25</v>
      </c>
      <c r="C57" s="5">
        <f t="shared" si="1"/>
        <v>391</v>
      </c>
      <c r="D57" s="5">
        <v>388</v>
      </c>
      <c r="E57" s="7">
        <v>69</v>
      </c>
      <c r="F57" s="85">
        <v>501</v>
      </c>
      <c r="H57" s="83">
        <v>75</v>
      </c>
      <c r="I57" s="5">
        <v>282</v>
      </c>
      <c r="J57" s="7">
        <v>49</v>
      </c>
      <c r="K57" s="7">
        <v>356</v>
      </c>
      <c r="L57" s="5"/>
      <c r="M57" s="5"/>
      <c r="N57" s="85"/>
      <c r="P57" s="102">
        <v>117</v>
      </c>
      <c r="Q57" s="5">
        <v>649</v>
      </c>
      <c r="R57" s="7">
        <v>61</v>
      </c>
      <c r="S57" s="7">
        <v>1048</v>
      </c>
      <c r="T57" s="5"/>
      <c r="U57" s="85"/>
      <c r="W57" s="102">
        <v>107</v>
      </c>
      <c r="X57" s="101">
        <v>393</v>
      </c>
      <c r="Y57" s="7">
        <v>63</v>
      </c>
      <c r="Z57" s="101">
        <v>541</v>
      </c>
      <c r="AA57" s="5"/>
      <c r="AB57" s="85"/>
    </row>
    <row r="58" spans="1:28" x14ac:dyDescent="0.2">
      <c r="A58" s="83">
        <v>106</v>
      </c>
      <c r="B58" s="5">
        <f t="shared" si="29"/>
        <v>392.5</v>
      </c>
      <c r="C58" s="5">
        <f t="shared" si="1"/>
        <v>393</v>
      </c>
      <c r="D58" s="5">
        <v>389</v>
      </c>
      <c r="E58" s="7">
        <v>70</v>
      </c>
      <c r="F58" s="85">
        <v>496</v>
      </c>
      <c r="H58" s="83">
        <v>74</v>
      </c>
      <c r="I58" s="5">
        <v>283</v>
      </c>
      <c r="J58" s="7">
        <v>50</v>
      </c>
      <c r="K58" s="7">
        <v>351</v>
      </c>
      <c r="L58" s="5"/>
      <c r="M58" s="5"/>
      <c r="N58" s="85"/>
      <c r="P58" s="102">
        <v>116</v>
      </c>
      <c r="Q58" s="5">
        <v>652</v>
      </c>
      <c r="R58" s="7">
        <v>62</v>
      </c>
      <c r="S58" s="7">
        <v>1030</v>
      </c>
      <c r="T58" s="5"/>
      <c r="U58" s="85"/>
      <c r="W58" s="102">
        <v>106</v>
      </c>
      <c r="X58" s="101">
        <v>395</v>
      </c>
      <c r="Y58" s="7">
        <v>64</v>
      </c>
      <c r="Z58" s="101">
        <v>534</v>
      </c>
      <c r="AA58" s="5"/>
      <c r="AB58" s="85"/>
    </row>
    <row r="59" spans="1:28" x14ac:dyDescent="0.2">
      <c r="A59" s="83">
        <v>105</v>
      </c>
      <c r="B59" s="5">
        <f t="shared" si="29"/>
        <v>393.75</v>
      </c>
      <c r="C59" s="5">
        <f t="shared" si="1"/>
        <v>394</v>
      </c>
      <c r="D59" s="5">
        <v>391</v>
      </c>
      <c r="E59" s="7">
        <v>71</v>
      </c>
      <c r="F59" s="85">
        <v>491</v>
      </c>
      <c r="H59" s="83">
        <v>73</v>
      </c>
      <c r="I59" s="5">
        <v>285</v>
      </c>
      <c r="J59" s="7">
        <v>51</v>
      </c>
      <c r="K59" s="7">
        <v>347</v>
      </c>
      <c r="L59" s="5"/>
      <c r="M59" s="5"/>
      <c r="N59" s="85"/>
      <c r="P59" s="102">
        <v>115</v>
      </c>
      <c r="Q59" s="5">
        <v>655</v>
      </c>
      <c r="R59" s="7">
        <v>63</v>
      </c>
      <c r="S59" s="7">
        <v>1015</v>
      </c>
      <c r="T59" s="5"/>
      <c r="U59" s="85"/>
      <c r="W59" s="102">
        <v>105</v>
      </c>
      <c r="X59" s="101">
        <v>397</v>
      </c>
      <c r="Y59" s="7">
        <v>65</v>
      </c>
      <c r="Z59" s="101">
        <v>527</v>
      </c>
      <c r="AA59" s="5"/>
      <c r="AB59" s="85"/>
    </row>
    <row r="60" spans="1:28" x14ac:dyDescent="0.2">
      <c r="A60" s="83">
        <v>104</v>
      </c>
      <c r="B60" s="5">
        <f t="shared" si="29"/>
        <v>395</v>
      </c>
      <c r="C60" s="5">
        <f t="shared" si="1"/>
        <v>395</v>
      </c>
      <c r="D60" s="5">
        <v>393</v>
      </c>
      <c r="E60" s="7">
        <v>72</v>
      </c>
      <c r="F60" s="85">
        <v>487</v>
      </c>
      <c r="H60" s="83">
        <v>72</v>
      </c>
      <c r="I60" s="5">
        <v>286</v>
      </c>
      <c r="J60" s="7">
        <v>52</v>
      </c>
      <c r="K60" s="7">
        <v>343</v>
      </c>
      <c r="L60" s="5"/>
      <c r="M60" s="5"/>
      <c r="N60" s="85"/>
      <c r="P60" s="102">
        <v>114</v>
      </c>
      <c r="Q60" s="5">
        <v>658</v>
      </c>
      <c r="R60" s="7">
        <v>64</v>
      </c>
      <c r="S60" s="101">
        <v>1000</v>
      </c>
      <c r="T60" s="5"/>
      <c r="U60" s="85"/>
      <c r="W60" s="102">
        <v>104</v>
      </c>
      <c r="X60" s="101">
        <v>398</v>
      </c>
      <c r="Y60" s="7">
        <v>66</v>
      </c>
      <c r="Z60" s="101">
        <v>521</v>
      </c>
      <c r="AA60" s="5"/>
      <c r="AB60" s="85"/>
    </row>
    <row r="61" spans="1:28" x14ac:dyDescent="0.2">
      <c r="A61" s="83">
        <v>103</v>
      </c>
      <c r="B61" s="5">
        <f t="shared" si="29"/>
        <v>396.25</v>
      </c>
      <c r="C61" s="5">
        <f t="shared" si="1"/>
        <v>396</v>
      </c>
      <c r="D61" s="5">
        <v>394</v>
      </c>
      <c r="E61" s="7">
        <v>73</v>
      </c>
      <c r="F61" s="85">
        <v>483</v>
      </c>
      <c r="H61" s="83">
        <v>71</v>
      </c>
      <c r="I61" s="5">
        <v>288</v>
      </c>
      <c r="J61" s="7">
        <v>53</v>
      </c>
      <c r="K61" s="7">
        <v>339</v>
      </c>
      <c r="L61" s="5"/>
      <c r="M61" s="5"/>
      <c r="N61" s="85"/>
      <c r="P61" s="102">
        <v>113</v>
      </c>
      <c r="Q61" s="5">
        <v>660</v>
      </c>
      <c r="R61" s="7">
        <v>65</v>
      </c>
      <c r="S61" s="7">
        <v>985</v>
      </c>
      <c r="T61" s="5"/>
      <c r="U61" s="85"/>
      <c r="W61" s="102">
        <v>103</v>
      </c>
      <c r="X61" s="101">
        <v>400</v>
      </c>
      <c r="Y61" s="7">
        <v>67</v>
      </c>
      <c r="Z61" s="101">
        <v>515</v>
      </c>
      <c r="AA61" s="5"/>
      <c r="AB61" s="85"/>
    </row>
    <row r="62" spans="1:28" x14ac:dyDescent="0.2">
      <c r="A62" s="83">
        <v>102</v>
      </c>
      <c r="B62" s="5">
        <f t="shared" si="29"/>
        <v>397.5</v>
      </c>
      <c r="C62" s="5">
        <f t="shared" si="1"/>
        <v>398</v>
      </c>
      <c r="D62" s="5">
        <v>396</v>
      </c>
      <c r="E62" s="7">
        <v>74</v>
      </c>
      <c r="F62" s="85">
        <v>479</v>
      </c>
      <c r="H62" s="90">
        <v>70</v>
      </c>
      <c r="I62" s="91">
        <v>289</v>
      </c>
      <c r="J62" s="7">
        <v>54</v>
      </c>
      <c r="K62" s="7">
        <v>335</v>
      </c>
      <c r="L62" s="5"/>
      <c r="M62" s="5"/>
      <c r="N62" s="85"/>
      <c r="P62" s="102">
        <v>112</v>
      </c>
      <c r="Q62" s="5">
        <v>663</v>
      </c>
      <c r="R62" s="7">
        <v>66</v>
      </c>
      <c r="S62" s="7">
        <v>972</v>
      </c>
      <c r="T62" s="5"/>
      <c r="U62" s="85"/>
      <c r="W62" s="102">
        <v>102</v>
      </c>
      <c r="X62" s="101">
        <v>403</v>
      </c>
      <c r="Y62" s="7">
        <v>68</v>
      </c>
      <c r="Z62" s="101">
        <v>510</v>
      </c>
      <c r="AA62" s="5"/>
      <c r="AB62" s="85"/>
    </row>
    <row r="63" spans="1:28" x14ac:dyDescent="0.2">
      <c r="A63" s="83">
        <v>101</v>
      </c>
      <c r="B63" s="5">
        <f t="shared" si="29"/>
        <v>398.75</v>
      </c>
      <c r="C63" s="5">
        <f t="shared" si="1"/>
        <v>399</v>
      </c>
      <c r="D63" s="5">
        <v>398</v>
      </c>
      <c r="E63" s="7">
        <v>75</v>
      </c>
      <c r="F63" s="85">
        <v>474</v>
      </c>
      <c r="H63" s="83">
        <v>69</v>
      </c>
      <c r="I63" s="5">
        <v>290</v>
      </c>
      <c r="J63" s="7">
        <v>55</v>
      </c>
      <c r="K63" s="7">
        <v>331</v>
      </c>
      <c r="L63" s="5"/>
      <c r="M63" s="5"/>
      <c r="N63" s="85"/>
      <c r="P63" s="102">
        <v>111</v>
      </c>
      <c r="Q63" s="5">
        <v>666</v>
      </c>
      <c r="R63" s="7">
        <v>67</v>
      </c>
      <c r="S63" s="7">
        <v>960</v>
      </c>
      <c r="T63" s="5"/>
      <c r="U63" s="85"/>
      <c r="W63" s="102">
        <v>101</v>
      </c>
      <c r="X63" s="101">
        <v>405</v>
      </c>
      <c r="Y63" s="7">
        <v>69</v>
      </c>
      <c r="Z63" s="101">
        <v>504</v>
      </c>
      <c r="AA63" s="5"/>
      <c r="AB63" s="85"/>
    </row>
    <row r="64" spans="1:28" x14ac:dyDescent="0.2">
      <c r="A64" s="90">
        <v>100</v>
      </c>
      <c r="B64" s="91">
        <v>400</v>
      </c>
      <c r="C64" s="91">
        <v>400</v>
      </c>
      <c r="D64" s="91">
        <v>400</v>
      </c>
      <c r="E64" s="7">
        <v>76</v>
      </c>
      <c r="F64" s="85">
        <v>470</v>
      </c>
      <c r="H64" s="83">
        <v>68</v>
      </c>
      <c r="I64" s="5">
        <v>292</v>
      </c>
      <c r="J64" s="7">
        <v>56</v>
      </c>
      <c r="K64" s="7">
        <v>327</v>
      </c>
      <c r="L64" s="5"/>
      <c r="M64" s="5"/>
      <c r="N64" s="85"/>
      <c r="P64" s="90">
        <v>110</v>
      </c>
      <c r="Q64" s="103">
        <v>670</v>
      </c>
      <c r="R64" s="7">
        <v>68</v>
      </c>
      <c r="S64" s="7">
        <v>948</v>
      </c>
      <c r="T64" s="5"/>
      <c r="U64" s="85"/>
      <c r="W64" s="90">
        <v>100</v>
      </c>
      <c r="X64" s="91">
        <v>407</v>
      </c>
      <c r="Y64" s="7">
        <v>70</v>
      </c>
      <c r="Z64" s="7">
        <v>500</v>
      </c>
      <c r="AA64" s="5"/>
      <c r="AB64" s="85"/>
    </row>
    <row r="65" spans="1:28" x14ac:dyDescent="0.2">
      <c r="A65" s="83">
        <v>99</v>
      </c>
      <c r="B65" s="5">
        <f>B64+2.75</f>
        <v>402.75</v>
      </c>
      <c r="C65" s="5">
        <f t="shared" si="1"/>
        <v>403</v>
      </c>
      <c r="D65" s="5">
        <v>402</v>
      </c>
      <c r="E65" s="7">
        <v>77</v>
      </c>
      <c r="F65" s="85">
        <v>466</v>
      </c>
      <c r="H65" s="83">
        <v>67</v>
      </c>
      <c r="I65" s="5">
        <v>293</v>
      </c>
      <c r="J65" s="7">
        <v>57</v>
      </c>
      <c r="K65" s="7">
        <v>324</v>
      </c>
      <c r="L65" s="5"/>
      <c r="M65" s="5"/>
      <c r="N65" s="85"/>
      <c r="P65" s="102">
        <v>109</v>
      </c>
      <c r="Q65" s="5">
        <v>673</v>
      </c>
      <c r="R65" s="7">
        <v>69</v>
      </c>
      <c r="S65" s="7">
        <v>935</v>
      </c>
      <c r="T65" s="5"/>
      <c r="U65" s="85"/>
      <c r="W65" s="102">
        <v>99</v>
      </c>
      <c r="X65" s="101">
        <v>410</v>
      </c>
      <c r="Y65" s="7">
        <v>71</v>
      </c>
      <c r="Z65" s="101">
        <v>496</v>
      </c>
      <c r="AA65" s="5"/>
      <c r="AB65" s="85"/>
    </row>
    <row r="66" spans="1:28" x14ac:dyDescent="0.2">
      <c r="A66" s="83">
        <v>98</v>
      </c>
      <c r="B66" s="5">
        <f>B65+2.75</f>
        <v>405.5</v>
      </c>
      <c r="C66" s="5">
        <f t="shared" si="1"/>
        <v>406</v>
      </c>
      <c r="D66" s="5">
        <v>404</v>
      </c>
      <c r="E66" s="7">
        <v>78</v>
      </c>
      <c r="F66" s="85">
        <v>463</v>
      </c>
      <c r="H66" s="83">
        <v>66</v>
      </c>
      <c r="I66" s="5">
        <v>295</v>
      </c>
      <c r="J66" s="7">
        <v>58</v>
      </c>
      <c r="K66" s="7">
        <v>320</v>
      </c>
      <c r="L66" s="5"/>
      <c r="M66" s="5"/>
      <c r="N66" s="85"/>
      <c r="P66" s="102">
        <v>108</v>
      </c>
      <c r="Q66" s="5">
        <v>677</v>
      </c>
      <c r="R66" s="7">
        <v>70</v>
      </c>
      <c r="S66" s="101">
        <v>925</v>
      </c>
      <c r="T66" s="5"/>
      <c r="U66" s="85"/>
      <c r="W66" s="102">
        <v>98</v>
      </c>
      <c r="X66" s="101">
        <v>413</v>
      </c>
      <c r="Y66" s="7">
        <v>72</v>
      </c>
      <c r="Z66" s="101">
        <v>492</v>
      </c>
      <c r="AA66" s="5"/>
      <c r="AB66" s="85"/>
    </row>
    <row r="67" spans="1:28" x14ac:dyDescent="0.2">
      <c r="A67" s="83">
        <v>97</v>
      </c>
      <c r="B67" s="5">
        <f t="shared" ref="B67:B82" si="30">B66+2.75</f>
        <v>408.25</v>
      </c>
      <c r="C67" s="5">
        <f t="shared" si="1"/>
        <v>408</v>
      </c>
      <c r="D67" s="5">
        <v>406</v>
      </c>
      <c r="E67" s="7">
        <v>79</v>
      </c>
      <c r="F67" s="85">
        <v>459</v>
      </c>
      <c r="H67" s="83">
        <v>65</v>
      </c>
      <c r="I67" s="5">
        <v>297</v>
      </c>
      <c r="J67" s="7">
        <v>59</v>
      </c>
      <c r="K67" s="7">
        <v>316</v>
      </c>
      <c r="L67" s="5"/>
      <c r="M67" s="5"/>
      <c r="N67" s="85"/>
      <c r="P67" s="102">
        <v>107</v>
      </c>
      <c r="Q67" s="5">
        <v>681</v>
      </c>
      <c r="R67" s="7">
        <v>71</v>
      </c>
      <c r="S67" s="7">
        <v>915</v>
      </c>
      <c r="T67" s="5"/>
      <c r="U67" s="85"/>
      <c r="W67" s="102">
        <v>97</v>
      </c>
      <c r="X67" s="101">
        <v>415</v>
      </c>
      <c r="Y67" s="7">
        <v>73</v>
      </c>
      <c r="Z67" s="101">
        <v>488</v>
      </c>
      <c r="AA67" s="5"/>
      <c r="AB67" s="85"/>
    </row>
    <row r="68" spans="1:28" x14ac:dyDescent="0.2">
      <c r="A68" s="83">
        <v>96</v>
      </c>
      <c r="B68" s="5">
        <f t="shared" si="30"/>
        <v>411</v>
      </c>
      <c r="C68" s="5">
        <f t="shared" si="1"/>
        <v>411</v>
      </c>
      <c r="D68" s="5">
        <v>408</v>
      </c>
      <c r="E68" s="7">
        <v>80</v>
      </c>
      <c r="F68" s="85">
        <v>455</v>
      </c>
      <c r="H68" s="90">
        <v>64</v>
      </c>
      <c r="I68" s="91">
        <v>300</v>
      </c>
      <c r="J68" s="7">
        <v>60</v>
      </c>
      <c r="K68" s="7">
        <v>313</v>
      </c>
      <c r="L68" s="5"/>
      <c r="M68" s="5"/>
      <c r="N68" s="85"/>
      <c r="P68" s="102">
        <v>106</v>
      </c>
      <c r="Q68" s="5">
        <v>685</v>
      </c>
      <c r="R68" s="7">
        <v>72</v>
      </c>
      <c r="S68" s="7">
        <v>905</v>
      </c>
      <c r="T68" s="5"/>
      <c r="U68" s="85"/>
      <c r="W68" s="102">
        <v>96</v>
      </c>
      <c r="X68" s="101">
        <v>418</v>
      </c>
      <c r="Y68" s="7">
        <v>74</v>
      </c>
      <c r="Z68" s="101">
        <v>484</v>
      </c>
      <c r="AA68" s="5"/>
      <c r="AB68" s="85"/>
    </row>
    <row r="69" spans="1:28" x14ac:dyDescent="0.2">
      <c r="A69" s="83">
        <v>95</v>
      </c>
      <c r="B69" s="5">
        <f t="shared" si="30"/>
        <v>413.75</v>
      </c>
      <c r="C69" s="5">
        <f t="shared" si="1"/>
        <v>414</v>
      </c>
      <c r="D69" s="5">
        <v>410</v>
      </c>
      <c r="E69" s="7">
        <v>81</v>
      </c>
      <c r="F69" s="85">
        <v>450</v>
      </c>
      <c r="H69" s="83">
        <v>63</v>
      </c>
      <c r="I69" s="5">
        <v>303</v>
      </c>
      <c r="J69" s="7">
        <v>61</v>
      </c>
      <c r="K69" s="7">
        <v>310</v>
      </c>
      <c r="L69" s="5"/>
      <c r="M69" s="5"/>
      <c r="N69" s="85"/>
      <c r="P69" s="102">
        <v>105</v>
      </c>
      <c r="Q69" s="5">
        <v>689</v>
      </c>
      <c r="R69" s="7">
        <v>73</v>
      </c>
      <c r="S69" s="7">
        <v>895</v>
      </c>
      <c r="T69" s="5"/>
      <c r="U69" s="85"/>
      <c r="W69" s="102">
        <v>95</v>
      </c>
      <c r="X69" s="101">
        <v>420</v>
      </c>
      <c r="Y69" s="7">
        <v>75</v>
      </c>
      <c r="Z69" s="101">
        <v>480</v>
      </c>
      <c r="AA69" s="5"/>
      <c r="AB69" s="85"/>
    </row>
    <row r="70" spans="1:28" x14ac:dyDescent="0.2">
      <c r="A70" s="83">
        <v>94</v>
      </c>
      <c r="B70" s="5">
        <f t="shared" si="30"/>
        <v>416.5</v>
      </c>
      <c r="C70" s="5">
        <f t="shared" si="1"/>
        <v>417</v>
      </c>
      <c r="D70" s="5">
        <v>413</v>
      </c>
      <c r="E70" s="7">
        <v>82</v>
      </c>
      <c r="F70" s="85">
        <v>447</v>
      </c>
      <c r="H70" s="83">
        <v>62</v>
      </c>
      <c r="I70" s="5">
        <v>306</v>
      </c>
      <c r="J70" s="7">
        <v>62</v>
      </c>
      <c r="K70" s="7">
        <v>306</v>
      </c>
      <c r="L70" s="5"/>
      <c r="M70" s="5"/>
      <c r="N70" s="85"/>
      <c r="P70" s="102">
        <v>104</v>
      </c>
      <c r="Q70" s="5">
        <v>693</v>
      </c>
      <c r="R70" s="7">
        <v>74</v>
      </c>
      <c r="S70" s="7">
        <v>886</v>
      </c>
      <c r="T70" s="5"/>
      <c r="U70" s="85"/>
      <c r="W70" s="102">
        <v>94</v>
      </c>
      <c r="X70" s="101">
        <v>423</v>
      </c>
      <c r="Y70" s="7">
        <v>76</v>
      </c>
      <c r="Z70" s="101">
        <v>476</v>
      </c>
      <c r="AA70" s="5"/>
      <c r="AB70" s="85"/>
    </row>
    <row r="71" spans="1:28" x14ac:dyDescent="0.2">
      <c r="A71" s="83">
        <v>93</v>
      </c>
      <c r="B71" s="5">
        <f t="shared" si="30"/>
        <v>419.25</v>
      </c>
      <c r="C71" s="5">
        <f t="shared" si="1"/>
        <v>419</v>
      </c>
      <c r="D71" s="5">
        <v>415</v>
      </c>
      <c r="E71" s="7">
        <v>83</v>
      </c>
      <c r="F71" s="85">
        <v>443</v>
      </c>
      <c r="H71" s="83">
        <v>61</v>
      </c>
      <c r="I71" s="5">
        <v>310</v>
      </c>
      <c r="J71" s="7">
        <v>63</v>
      </c>
      <c r="K71" s="7">
        <v>303</v>
      </c>
      <c r="L71" s="5"/>
      <c r="M71" s="5"/>
      <c r="N71" s="85"/>
      <c r="P71" s="102">
        <v>103</v>
      </c>
      <c r="Q71" s="5">
        <v>697</v>
      </c>
      <c r="R71" s="7">
        <v>75</v>
      </c>
      <c r="S71" s="7">
        <v>877</v>
      </c>
      <c r="T71" s="5"/>
      <c r="U71" s="85"/>
      <c r="W71" s="102">
        <v>93</v>
      </c>
      <c r="X71" s="101">
        <v>425</v>
      </c>
      <c r="Y71" s="7">
        <v>77</v>
      </c>
      <c r="Z71" s="101">
        <v>472</v>
      </c>
      <c r="AA71" s="5"/>
      <c r="AB71" s="85"/>
    </row>
    <row r="72" spans="1:28" x14ac:dyDescent="0.2">
      <c r="A72" s="83">
        <v>92</v>
      </c>
      <c r="B72" s="5">
        <f t="shared" si="30"/>
        <v>422</v>
      </c>
      <c r="C72" s="5">
        <f t="shared" si="1"/>
        <v>422</v>
      </c>
      <c r="D72" s="5">
        <v>417</v>
      </c>
      <c r="E72" s="7">
        <v>84</v>
      </c>
      <c r="F72" s="85">
        <v>440</v>
      </c>
      <c r="H72" s="83">
        <v>60</v>
      </c>
      <c r="I72" s="5">
        <v>313</v>
      </c>
      <c r="J72" s="7">
        <v>64</v>
      </c>
      <c r="K72" s="7">
        <v>300</v>
      </c>
      <c r="L72" s="5"/>
      <c r="M72" s="5"/>
      <c r="N72" s="85"/>
      <c r="P72" s="102">
        <v>102</v>
      </c>
      <c r="Q72" s="5">
        <v>701</v>
      </c>
      <c r="R72" s="7">
        <v>76</v>
      </c>
      <c r="S72" s="7">
        <v>868</v>
      </c>
      <c r="T72" s="5"/>
      <c r="U72" s="85"/>
      <c r="W72" s="102">
        <v>92</v>
      </c>
      <c r="X72" s="101">
        <v>427</v>
      </c>
      <c r="Y72" s="7">
        <v>78</v>
      </c>
      <c r="Z72" s="101">
        <v>468</v>
      </c>
      <c r="AA72" s="5"/>
      <c r="AB72" s="85"/>
    </row>
    <row r="73" spans="1:28" x14ac:dyDescent="0.2">
      <c r="A73" s="83">
        <v>91</v>
      </c>
      <c r="B73" s="5">
        <f t="shared" si="30"/>
        <v>424.75</v>
      </c>
      <c r="C73" s="5">
        <f t="shared" si="1"/>
        <v>425</v>
      </c>
      <c r="D73" s="5">
        <v>420</v>
      </c>
      <c r="E73" s="7">
        <v>85</v>
      </c>
      <c r="F73" s="85">
        <v>437</v>
      </c>
      <c r="H73" s="83">
        <v>59</v>
      </c>
      <c r="I73" s="5">
        <v>316</v>
      </c>
      <c r="J73" s="7">
        <v>65</v>
      </c>
      <c r="K73" s="7">
        <v>297</v>
      </c>
      <c r="L73" s="5"/>
      <c r="M73" s="5"/>
      <c r="N73" s="85"/>
      <c r="P73" s="102">
        <v>101</v>
      </c>
      <c r="Q73" s="5">
        <v>705</v>
      </c>
      <c r="R73" s="7">
        <v>77</v>
      </c>
      <c r="S73" s="7">
        <v>859</v>
      </c>
      <c r="T73" s="5"/>
      <c r="U73" s="85"/>
      <c r="W73" s="102">
        <v>91</v>
      </c>
      <c r="X73" s="101">
        <v>429</v>
      </c>
      <c r="Y73" s="7">
        <v>79</v>
      </c>
      <c r="Z73" s="101">
        <v>465</v>
      </c>
      <c r="AA73" s="5"/>
      <c r="AB73" s="85"/>
    </row>
    <row r="74" spans="1:28" x14ac:dyDescent="0.2">
      <c r="A74" s="83">
        <v>90</v>
      </c>
      <c r="B74" s="5">
        <f t="shared" si="30"/>
        <v>427.5</v>
      </c>
      <c r="C74" s="5">
        <f t="shared" si="1"/>
        <v>428</v>
      </c>
      <c r="D74" s="5">
        <v>422</v>
      </c>
      <c r="E74" s="7">
        <v>86</v>
      </c>
      <c r="F74" s="85">
        <v>434</v>
      </c>
      <c r="H74" s="83">
        <v>58</v>
      </c>
      <c r="I74" s="5">
        <v>320</v>
      </c>
      <c r="J74" s="7">
        <v>66</v>
      </c>
      <c r="K74" s="7">
        <v>295</v>
      </c>
      <c r="L74" s="5"/>
      <c r="M74" s="5"/>
      <c r="N74" s="85"/>
      <c r="P74" s="90">
        <v>100</v>
      </c>
      <c r="Q74" s="103">
        <v>710</v>
      </c>
      <c r="R74" s="7">
        <v>78</v>
      </c>
      <c r="S74" s="7">
        <v>851</v>
      </c>
      <c r="T74" s="5"/>
      <c r="U74" s="85"/>
      <c r="W74" s="102">
        <v>90</v>
      </c>
      <c r="X74" s="101">
        <v>432</v>
      </c>
      <c r="Y74" s="7">
        <v>80</v>
      </c>
      <c r="Z74" s="101">
        <v>462</v>
      </c>
      <c r="AA74" s="5"/>
      <c r="AB74" s="85"/>
    </row>
    <row r="75" spans="1:28" x14ac:dyDescent="0.2">
      <c r="A75" s="83">
        <v>89</v>
      </c>
      <c r="B75" s="5">
        <f t="shared" si="30"/>
        <v>430.25</v>
      </c>
      <c r="C75" s="5">
        <f t="shared" si="1"/>
        <v>430</v>
      </c>
      <c r="D75" s="5">
        <v>425</v>
      </c>
      <c r="E75" s="7">
        <v>87</v>
      </c>
      <c r="F75" s="85">
        <v>431</v>
      </c>
      <c r="H75" s="83">
        <v>57</v>
      </c>
      <c r="I75" s="5">
        <v>324</v>
      </c>
      <c r="J75" s="7">
        <v>67</v>
      </c>
      <c r="K75" s="7">
        <v>293</v>
      </c>
      <c r="L75" s="5"/>
      <c r="M75" s="5"/>
      <c r="N75" s="85"/>
      <c r="P75" s="102">
        <v>99</v>
      </c>
      <c r="Q75" s="5">
        <v>714</v>
      </c>
      <c r="R75" s="7">
        <v>79</v>
      </c>
      <c r="S75" s="7">
        <v>843</v>
      </c>
      <c r="T75" s="5"/>
      <c r="U75" s="85"/>
      <c r="W75" s="102">
        <v>89</v>
      </c>
      <c r="X75" s="101">
        <v>435</v>
      </c>
      <c r="Y75" s="7">
        <v>81</v>
      </c>
      <c r="Z75" s="101">
        <v>459</v>
      </c>
      <c r="AA75" s="5"/>
      <c r="AB75" s="85"/>
    </row>
    <row r="76" spans="1:28" x14ac:dyDescent="0.2">
      <c r="A76" s="83">
        <v>88</v>
      </c>
      <c r="B76" s="5">
        <f t="shared" si="30"/>
        <v>433</v>
      </c>
      <c r="C76" s="5">
        <f t="shared" si="1"/>
        <v>433</v>
      </c>
      <c r="D76" s="5">
        <v>428</v>
      </c>
      <c r="E76" s="7">
        <v>88</v>
      </c>
      <c r="F76" s="85">
        <v>428</v>
      </c>
      <c r="H76" s="83">
        <v>56</v>
      </c>
      <c r="I76" s="5">
        <v>327</v>
      </c>
      <c r="J76" s="7">
        <v>68</v>
      </c>
      <c r="K76" s="7">
        <v>292</v>
      </c>
      <c r="L76" s="5"/>
      <c r="M76" s="5"/>
      <c r="N76" s="85"/>
      <c r="P76" s="102">
        <v>98</v>
      </c>
      <c r="Q76" s="5">
        <v>718</v>
      </c>
      <c r="R76" s="7">
        <v>80</v>
      </c>
      <c r="S76" s="101">
        <v>835</v>
      </c>
      <c r="T76" s="5"/>
      <c r="U76" s="85"/>
      <c r="W76" s="102">
        <v>88</v>
      </c>
      <c r="X76" s="101">
        <v>438</v>
      </c>
      <c r="Y76" s="7">
        <v>82</v>
      </c>
      <c r="Z76" s="101">
        <v>456</v>
      </c>
      <c r="AA76" s="5"/>
      <c r="AB76" s="85"/>
    </row>
    <row r="77" spans="1:28" x14ac:dyDescent="0.2">
      <c r="A77" s="83">
        <v>87</v>
      </c>
      <c r="B77" s="5">
        <f t="shared" si="30"/>
        <v>435.75</v>
      </c>
      <c r="C77" s="5">
        <f t="shared" si="1"/>
        <v>436</v>
      </c>
      <c r="D77" s="5">
        <v>431</v>
      </c>
      <c r="E77" s="7">
        <v>89</v>
      </c>
      <c r="F77" s="85">
        <v>425</v>
      </c>
      <c r="H77" s="83">
        <v>55</v>
      </c>
      <c r="I77" s="5">
        <v>331</v>
      </c>
      <c r="J77" s="7">
        <v>69</v>
      </c>
      <c r="K77" s="7">
        <v>290</v>
      </c>
      <c r="L77" s="5"/>
      <c r="M77" s="5"/>
      <c r="N77" s="85"/>
      <c r="P77" s="102">
        <v>97</v>
      </c>
      <c r="Q77" s="5">
        <v>723</v>
      </c>
      <c r="R77" s="7">
        <v>81</v>
      </c>
      <c r="S77" s="7">
        <v>828</v>
      </c>
      <c r="T77" s="5"/>
      <c r="U77" s="85"/>
      <c r="W77" s="102">
        <v>87</v>
      </c>
      <c r="X77" s="101">
        <v>441</v>
      </c>
      <c r="Y77" s="7">
        <v>83</v>
      </c>
      <c r="Z77" s="101">
        <v>453</v>
      </c>
      <c r="AA77" s="5"/>
      <c r="AB77" s="85"/>
    </row>
    <row r="78" spans="1:28" x14ac:dyDescent="0.2">
      <c r="A78" s="83">
        <v>86</v>
      </c>
      <c r="B78" s="5">
        <f t="shared" si="30"/>
        <v>438.5</v>
      </c>
      <c r="C78" s="5">
        <f t="shared" si="1"/>
        <v>439</v>
      </c>
      <c r="D78" s="5">
        <v>434</v>
      </c>
      <c r="E78" s="7">
        <v>90</v>
      </c>
      <c r="F78" s="85">
        <v>422</v>
      </c>
      <c r="H78" s="83">
        <v>54</v>
      </c>
      <c r="I78" s="5">
        <v>335</v>
      </c>
      <c r="J78" s="7">
        <v>70</v>
      </c>
      <c r="K78" s="7">
        <v>289</v>
      </c>
      <c r="L78" s="5"/>
      <c r="M78" s="5"/>
      <c r="N78" s="85"/>
      <c r="P78" s="102">
        <v>96</v>
      </c>
      <c r="Q78" s="5">
        <v>728</v>
      </c>
      <c r="R78" s="7">
        <v>82</v>
      </c>
      <c r="S78" s="7">
        <v>820</v>
      </c>
      <c r="T78" s="5"/>
      <c r="U78" s="85"/>
      <c r="W78" s="102">
        <v>86</v>
      </c>
      <c r="X78" s="101">
        <v>444</v>
      </c>
      <c r="Y78" s="7">
        <v>84</v>
      </c>
      <c r="Z78" s="101">
        <v>449</v>
      </c>
      <c r="AA78" s="5"/>
      <c r="AB78" s="85"/>
    </row>
    <row r="79" spans="1:28" x14ac:dyDescent="0.2">
      <c r="A79" s="83">
        <v>85</v>
      </c>
      <c r="B79" s="5">
        <f t="shared" si="30"/>
        <v>441.25</v>
      </c>
      <c r="C79" s="5">
        <f t="shared" si="1"/>
        <v>441</v>
      </c>
      <c r="D79" s="5">
        <v>437</v>
      </c>
      <c r="E79" s="7">
        <v>91</v>
      </c>
      <c r="F79" s="85">
        <v>420</v>
      </c>
      <c r="H79" s="83">
        <v>53</v>
      </c>
      <c r="I79" s="5">
        <v>339</v>
      </c>
      <c r="J79" s="7">
        <v>71</v>
      </c>
      <c r="K79" s="7">
        <v>288</v>
      </c>
      <c r="L79" s="5"/>
      <c r="M79" s="5"/>
      <c r="N79" s="85"/>
      <c r="P79" s="102">
        <v>95</v>
      </c>
      <c r="Q79" s="5">
        <v>733</v>
      </c>
      <c r="R79" s="7">
        <v>83</v>
      </c>
      <c r="S79" s="7">
        <v>812</v>
      </c>
      <c r="T79" s="5"/>
      <c r="U79" s="85"/>
      <c r="W79" s="102">
        <v>85</v>
      </c>
      <c r="X79" s="101">
        <v>447</v>
      </c>
      <c r="Y79" s="7">
        <v>85</v>
      </c>
      <c r="Z79" s="101">
        <v>447</v>
      </c>
      <c r="AA79" s="5"/>
      <c r="AB79" s="85"/>
    </row>
    <row r="80" spans="1:28" x14ac:dyDescent="0.2">
      <c r="A80" s="83">
        <v>84</v>
      </c>
      <c r="B80" s="5">
        <f t="shared" si="30"/>
        <v>444</v>
      </c>
      <c r="C80" s="5">
        <f t="shared" ref="C80:C83" si="31">ROUND(B80,0.1)</f>
        <v>444</v>
      </c>
      <c r="D80" s="5">
        <v>440</v>
      </c>
      <c r="E80" s="7">
        <v>92</v>
      </c>
      <c r="F80" s="85">
        <v>417</v>
      </c>
      <c r="H80" s="83">
        <v>52</v>
      </c>
      <c r="I80" s="5">
        <v>343</v>
      </c>
      <c r="J80" s="7">
        <v>72</v>
      </c>
      <c r="K80" s="7">
        <v>286</v>
      </c>
      <c r="L80" s="5"/>
      <c r="M80" s="5"/>
      <c r="N80" s="85"/>
      <c r="P80" s="102">
        <v>94</v>
      </c>
      <c r="Q80" s="5">
        <v>739</v>
      </c>
      <c r="R80" s="7">
        <v>84</v>
      </c>
      <c r="S80" s="7">
        <v>806</v>
      </c>
      <c r="T80" s="5"/>
      <c r="U80" s="85"/>
      <c r="W80" s="102">
        <v>84</v>
      </c>
      <c r="X80" s="101">
        <v>449</v>
      </c>
      <c r="Y80" s="7">
        <v>86</v>
      </c>
      <c r="Z80" s="101">
        <v>444</v>
      </c>
      <c r="AA80" s="5"/>
      <c r="AB80" s="85"/>
    </row>
    <row r="81" spans="1:28" x14ac:dyDescent="0.2">
      <c r="A81" s="83">
        <v>83</v>
      </c>
      <c r="B81" s="5">
        <f t="shared" si="30"/>
        <v>446.75</v>
      </c>
      <c r="C81" s="5">
        <f t="shared" si="31"/>
        <v>447</v>
      </c>
      <c r="D81" s="5">
        <v>443</v>
      </c>
      <c r="E81" s="7">
        <v>93</v>
      </c>
      <c r="F81" s="85">
        <v>415</v>
      </c>
      <c r="H81" s="83">
        <v>51</v>
      </c>
      <c r="I81" s="5">
        <v>347</v>
      </c>
      <c r="J81" s="7">
        <v>73</v>
      </c>
      <c r="K81" s="7">
        <v>285</v>
      </c>
      <c r="L81" s="5"/>
      <c r="M81" s="5"/>
      <c r="N81" s="85"/>
      <c r="P81" s="90">
        <v>93</v>
      </c>
      <c r="Q81" s="103">
        <v>745</v>
      </c>
      <c r="R81" s="7">
        <v>85</v>
      </c>
      <c r="S81" s="7">
        <v>799</v>
      </c>
      <c r="T81" s="5"/>
      <c r="U81" s="85"/>
      <c r="W81" s="102">
        <v>83</v>
      </c>
      <c r="X81" s="101">
        <v>453</v>
      </c>
      <c r="Y81" s="7">
        <v>87</v>
      </c>
      <c r="Z81" s="101">
        <v>441</v>
      </c>
      <c r="AA81" s="5"/>
      <c r="AB81" s="85"/>
    </row>
    <row r="82" spans="1:28" x14ac:dyDescent="0.2">
      <c r="A82" s="83">
        <v>82</v>
      </c>
      <c r="B82" s="5">
        <f t="shared" si="30"/>
        <v>449.5</v>
      </c>
      <c r="C82" s="5">
        <f t="shared" si="31"/>
        <v>450</v>
      </c>
      <c r="D82" s="5">
        <v>447</v>
      </c>
      <c r="E82" s="7">
        <v>94</v>
      </c>
      <c r="F82" s="85">
        <v>413</v>
      </c>
      <c r="H82" s="90">
        <v>50</v>
      </c>
      <c r="I82" s="91">
        <v>351</v>
      </c>
      <c r="J82" s="7">
        <v>74</v>
      </c>
      <c r="K82" s="7">
        <v>283</v>
      </c>
      <c r="L82" s="5"/>
      <c r="M82" s="5"/>
      <c r="N82" s="85"/>
      <c r="P82" s="102">
        <v>92</v>
      </c>
      <c r="Q82" s="5">
        <v>751</v>
      </c>
      <c r="R82" s="7">
        <v>86</v>
      </c>
      <c r="S82" s="7">
        <v>792</v>
      </c>
      <c r="T82" s="5"/>
      <c r="U82" s="85"/>
      <c r="W82" s="102">
        <v>82</v>
      </c>
      <c r="X82" s="101">
        <v>456</v>
      </c>
      <c r="Y82" s="7">
        <v>88</v>
      </c>
      <c r="Z82" s="101">
        <v>438</v>
      </c>
      <c r="AA82" s="5"/>
      <c r="AB82" s="85"/>
    </row>
    <row r="83" spans="1:28" x14ac:dyDescent="0.2">
      <c r="A83" s="83">
        <v>81</v>
      </c>
      <c r="B83" s="5">
        <f>B82+2.75</f>
        <v>452.25</v>
      </c>
      <c r="C83" s="5">
        <f t="shared" si="31"/>
        <v>452</v>
      </c>
      <c r="D83" s="5">
        <v>450</v>
      </c>
      <c r="E83" s="7">
        <v>95</v>
      </c>
      <c r="F83" s="85">
        <v>410</v>
      </c>
      <c r="H83" s="83">
        <v>49</v>
      </c>
      <c r="I83" s="5">
        <v>356</v>
      </c>
      <c r="J83" s="7">
        <v>75</v>
      </c>
      <c r="K83" s="7">
        <v>282</v>
      </c>
      <c r="L83" s="5"/>
      <c r="M83" s="5"/>
      <c r="N83" s="85"/>
      <c r="P83" s="102">
        <v>91</v>
      </c>
      <c r="Q83" s="5">
        <v>757</v>
      </c>
      <c r="R83" s="7">
        <v>87</v>
      </c>
      <c r="S83" s="7">
        <v>785</v>
      </c>
      <c r="T83" s="5"/>
      <c r="U83" s="85"/>
      <c r="W83" s="102">
        <v>81</v>
      </c>
      <c r="X83" s="101">
        <v>459</v>
      </c>
      <c r="Y83" s="7">
        <v>89</v>
      </c>
      <c r="Z83" s="101">
        <v>435</v>
      </c>
      <c r="AA83" s="5"/>
      <c r="AB83" s="85"/>
    </row>
    <row r="84" spans="1:28" x14ac:dyDescent="0.2">
      <c r="A84" s="90">
        <v>80</v>
      </c>
      <c r="B84" s="91">
        <v>455</v>
      </c>
      <c r="C84" s="91">
        <v>455</v>
      </c>
      <c r="D84" s="91">
        <v>455</v>
      </c>
      <c r="E84" s="7">
        <v>96</v>
      </c>
      <c r="F84" s="85">
        <v>408</v>
      </c>
      <c r="H84" s="83">
        <v>48</v>
      </c>
      <c r="I84" s="5">
        <v>361</v>
      </c>
      <c r="J84" s="7">
        <v>76</v>
      </c>
      <c r="K84" s="7">
        <v>280</v>
      </c>
      <c r="L84" s="5"/>
      <c r="M84" s="5"/>
      <c r="N84" s="85"/>
      <c r="P84" s="102">
        <v>90</v>
      </c>
      <c r="Q84" s="5">
        <v>764</v>
      </c>
      <c r="R84" s="7">
        <v>88</v>
      </c>
      <c r="S84" s="7">
        <v>778</v>
      </c>
      <c r="T84" s="5"/>
      <c r="U84" s="85"/>
      <c r="W84" s="102">
        <v>80</v>
      </c>
      <c r="X84" s="101">
        <v>462</v>
      </c>
      <c r="Y84" s="7">
        <v>90</v>
      </c>
      <c r="Z84" s="101">
        <v>432</v>
      </c>
      <c r="AA84" s="5"/>
      <c r="AB84" s="85"/>
    </row>
    <row r="85" spans="1:28" x14ac:dyDescent="0.2">
      <c r="A85" s="83">
        <v>79</v>
      </c>
      <c r="B85" s="5">
        <f>B84+(($B$104-$B$84)/($A$84-$A$104))</f>
        <v>460.15</v>
      </c>
      <c r="C85" s="5">
        <f t="shared" ref="C85:C137" si="32">ROUND(B85,0.1)</f>
        <v>460</v>
      </c>
      <c r="D85" s="5">
        <v>459</v>
      </c>
      <c r="E85" s="7">
        <v>97</v>
      </c>
      <c r="F85" s="85">
        <v>406</v>
      </c>
      <c r="H85" s="83">
        <v>47</v>
      </c>
      <c r="I85" s="5">
        <v>367</v>
      </c>
      <c r="J85" s="7">
        <v>77</v>
      </c>
      <c r="K85" s="7">
        <v>279</v>
      </c>
      <c r="L85" s="5"/>
      <c r="M85" s="5"/>
      <c r="N85" s="85"/>
      <c r="P85" s="102">
        <v>89</v>
      </c>
      <c r="Q85" s="5">
        <v>771</v>
      </c>
      <c r="R85" s="7">
        <v>89</v>
      </c>
      <c r="S85" s="7">
        <v>771</v>
      </c>
      <c r="T85" s="5"/>
      <c r="U85" s="85"/>
      <c r="W85" s="102">
        <v>79</v>
      </c>
      <c r="X85" s="101">
        <v>465</v>
      </c>
      <c r="Y85" s="7">
        <v>91</v>
      </c>
      <c r="Z85" s="101">
        <v>429</v>
      </c>
      <c r="AA85" s="5"/>
      <c r="AB85" s="85"/>
    </row>
    <row r="86" spans="1:28" x14ac:dyDescent="0.2">
      <c r="A86" s="83">
        <v>78</v>
      </c>
      <c r="B86" s="5">
        <f t="shared" ref="B86:B103" si="33">B85+(($B$104-$B$84)/($A$84-$A$104))</f>
        <v>465.29999999999995</v>
      </c>
      <c r="C86" s="5">
        <f t="shared" si="32"/>
        <v>465</v>
      </c>
      <c r="D86" s="5">
        <v>463</v>
      </c>
      <c r="E86" s="7">
        <v>98</v>
      </c>
      <c r="F86" s="85">
        <v>404</v>
      </c>
      <c r="H86" s="83">
        <v>46</v>
      </c>
      <c r="I86" s="5">
        <v>373</v>
      </c>
      <c r="J86" s="7">
        <v>78</v>
      </c>
      <c r="K86" s="7">
        <v>278</v>
      </c>
      <c r="L86" s="5"/>
      <c r="M86" s="5"/>
      <c r="N86" s="85"/>
      <c r="P86" s="102">
        <v>88</v>
      </c>
      <c r="Q86" s="5">
        <v>778</v>
      </c>
      <c r="R86" s="7">
        <v>90</v>
      </c>
      <c r="S86" s="7">
        <v>764</v>
      </c>
      <c r="T86" s="5"/>
      <c r="U86" s="85"/>
      <c r="W86" s="102">
        <v>78</v>
      </c>
      <c r="X86" s="101">
        <v>468</v>
      </c>
      <c r="Y86" s="7">
        <v>92</v>
      </c>
      <c r="Z86" s="101">
        <v>427</v>
      </c>
      <c r="AA86" s="5"/>
      <c r="AB86" s="85"/>
    </row>
    <row r="87" spans="1:28" x14ac:dyDescent="0.2">
      <c r="A87" s="83">
        <v>77</v>
      </c>
      <c r="B87" s="5">
        <f t="shared" si="33"/>
        <v>470.44999999999993</v>
      </c>
      <c r="C87" s="5">
        <f t="shared" si="32"/>
        <v>470</v>
      </c>
      <c r="D87" s="5">
        <v>466</v>
      </c>
      <c r="E87" s="7">
        <v>99</v>
      </c>
      <c r="F87" s="85">
        <v>402</v>
      </c>
      <c r="H87" s="83">
        <v>45</v>
      </c>
      <c r="I87" s="5">
        <v>380</v>
      </c>
      <c r="J87" s="7">
        <v>79</v>
      </c>
      <c r="K87" s="7">
        <v>277</v>
      </c>
      <c r="L87" s="5"/>
      <c r="M87" s="5"/>
      <c r="N87" s="85"/>
      <c r="P87" s="102">
        <v>87</v>
      </c>
      <c r="Q87" s="5">
        <v>785</v>
      </c>
      <c r="R87" s="7">
        <v>91</v>
      </c>
      <c r="S87" s="7">
        <v>757</v>
      </c>
      <c r="T87" s="5"/>
      <c r="U87" s="85"/>
      <c r="W87" s="102">
        <v>77</v>
      </c>
      <c r="X87" s="101">
        <v>472</v>
      </c>
      <c r="Y87" s="7">
        <v>93</v>
      </c>
      <c r="Z87" s="101">
        <v>425</v>
      </c>
      <c r="AA87" s="5"/>
      <c r="AB87" s="85"/>
    </row>
    <row r="88" spans="1:28" x14ac:dyDescent="0.2">
      <c r="A88" s="83">
        <v>76</v>
      </c>
      <c r="B88" s="5">
        <f t="shared" si="33"/>
        <v>475.59999999999991</v>
      </c>
      <c r="C88" s="5">
        <f t="shared" si="32"/>
        <v>476</v>
      </c>
      <c r="D88" s="5">
        <v>470</v>
      </c>
      <c r="E88" s="7">
        <v>100</v>
      </c>
      <c r="F88" s="85">
        <v>400</v>
      </c>
      <c r="H88" s="83">
        <v>44</v>
      </c>
      <c r="I88" s="5">
        <v>386</v>
      </c>
      <c r="J88" s="7">
        <v>80</v>
      </c>
      <c r="K88" s="7">
        <v>275</v>
      </c>
      <c r="L88" s="5"/>
      <c r="M88" s="5"/>
      <c r="N88" s="85"/>
      <c r="P88" s="102">
        <v>86</v>
      </c>
      <c r="Q88" s="5">
        <v>792</v>
      </c>
      <c r="R88" s="7">
        <v>92</v>
      </c>
      <c r="S88" s="7">
        <v>751</v>
      </c>
      <c r="T88" s="5"/>
      <c r="U88" s="85"/>
      <c r="W88" s="102">
        <v>76</v>
      </c>
      <c r="X88" s="101">
        <v>476</v>
      </c>
      <c r="Y88" s="7">
        <v>94</v>
      </c>
      <c r="Z88" s="101">
        <v>423</v>
      </c>
      <c r="AA88" s="5"/>
      <c r="AB88" s="85"/>
    </row>
    <row r="89" spans="1:28" x14ac:dyDescent="0.2">
      <c r="A89" s="83">
        <v>75</v>
      </c>
      <c r="B89" s="5">
        <f t="shared" si="33"/>
        <v>480.74999999999989</v>
      </c>
      <c r="C89" s="5">
        <f t="shared" si="32"/>
        <v>481</v>
      </c>
      <c r="D89" s="5">
        <v>474</v>
      </c>
      <c r="E89" s="7">
        <v>101</v>
      </c>
      <c r="F89" s="85">
        <v>398</v>
      </c>
      <c r="H89" s="83">
        <v>43</v>
      </c>
      <c r="I89" s="5">
        <v>393</v>
      </c>
      <c r="J89" s="7">
        <v>81</v>
      </c>
      <c r="K89" s="7">
        <v>274</v>
      </c>
      <c r="L89" s="5"/>
      <c r="M89" s="5"/>
      <c r="N89" s="85"/>
      <c r="P89" s="102">
        <v>85</v>
      </c>
      <c r="Q89" s="5">
        <v>799</v>
      </c>
      <c r="R89" s="7">
        <v>93</v>
      </c>
      <c r="S89" s="101">
        <v>745</v>
      </c>
      <c r="T89" s="5"/>
      <c r="U89" s="85"/>
      <c r="W89" s="102">
        <v>75</v>
      </c>
      <c r="X89" s="101">
        <v>480</v>
      </c>
      <c r="Y89" s="7">
        <v>95</v>
      </c>
      <c r="Z89" s="101">
        <v>420</v>
      </c>
      <c r="AA89" s="5"/>
      <c r="AB89" s="85"/>
    </row>
    <row r="90" spans="1:28" x14ac:dyDescent="0.2">
      <c r="A90" s="83">
        <v>74</v>
      </c>
      <c r="B90" s="5">
        <f t="shared" si="33"/>
        <v>485.89999999999986</v>
      </c>
      <c r="C90" s="5">
        <f t="shared" si="32"/>
        <v>486</v>
      </c>
      <c r="D90" s="5">
        <v>479</v>
      </c>
      <c r="E90" s="7">
        <v>102</v>
      </c>
      <c r="F90" s="85">
        <v>396</v>
      </c>
      <c r="H90" s="90">
        <v>42</v>
      </c>
      <c r="I90" s="91">
        <v>400</v>
      </c>
      <c r="J90" s="7">
        <v>82</v>
      </c>
      <c r="K90" s="7">
        <v>273</v>
      </c>
      <c r="L90" s="5"/>
      <c r="M90" s="5"/>
      <c r="N90" s="85"/>
      <c r="P90" s="102">
        <v>84</v>
      </c>
      <c r="Q90" s="5">
        <v>806</v>
      </c>
      <c r="R90" s="7">
        <v>94</v>
      </c>
      <c r="S90" s="7">
        <v>739</v>
      </c>
      <c r="T90" s="5"/>
      <c r="U90" s="85"/>
      <c r="W90" s="102">
        <v>74</v>
      </c>
      <c r="X90" s="101">
        <v>484</v>
      </c>
      <c r="Y90" s="7">
        <v>96</v>
      </c>
      <c r="Z90" s="101">
        <v>418</v>
      </c>
      <c r="AA90" s="5"/>
      <c r="AB90" s="85"/>
    </row>
    <row r="91" spans="1:28" x14ac:dyDescent="0.2">
      <c r="A91" s="83">
        <v>73</v>
      </c>
      <c r="B91" s="5">
        <f t="shared" si="33"/>
        <v>491.04999999999984</v>
      </c>
      <c r="C91" s="5">
        <f t="shared" si="32"/>
        <v>491</v>
      </c>
      <c r="D91" s="5">
        <v>483</v>
      </c>
      <c r="E91" s="7">
        <v>103</v>
      </c>
      <c r="F91" s="85">
        <v>394</v>
      </c>
      <c r="H91" s="83">
        <v>41</v>
      </c>
      <c r="I91" s="5">
        <v>408</v>
      </c>
      <c r="J91" s="7">
        <v>83</v>
      </c>
      <c r="K91" s="7">
        <v>271</v>
      </c>
      <c r="L91" s="5"/>
      <c r="M91" s="5"/>
      <c r="N91" s="85"/>
      <c r="P91" s="102">
        <v>83</v>
      </c>
      <c r="Q91" s="5">
        <v>812</v>
      </c>
      <c r="R91" s="7">
        <v>95</v>
      </c>
      <c r="S91" s="7">
        <v>733</v>
      </c>
      <c r="T91" s="5"/>
      <c r="U91" s="85"/>
      <c r="W91" s="102">
        <v>73</v>
      </c>
      <c r="X91" s="101">
        <v>488</v>
      </c>
      <c r="Y91" s="7">
        <v>97</v>
      </c>
      <c r="Z91" s="101">
        <v>415</v>
      </c>
      <c r="AA91" s="5"/>
      <c r="AB91" s="85"/>
    </row>
    <row r="92" spans="1:28" x14ac:dyDescent="0.2">
      <c r="A92" s="83">
        <v>72</v>
      </c>
      <c r="B92" s="5">
        <f t="shared" si="33"/>
        <v>496.19999999999982</v>
      </c>
      <c r="C92" s="5">
        <f t="shared" si="32"/>
        <v>496</v>
      </c>
      <c r="D92" s="5">
        <v>487</v>
      </c>
      <c r="E92" s="7">
        <v>104</v>
      </c>
      <c r="F92" s="85">
        <v>393</v>
      </c>
      <c r="H92" s="90">
        <v>40</v>
      </c>
      <c r="I92" s="91">
        <v>416</v>
      </c>
      <c r="J92" s="7">
        <v>84</v>
      </c>
      <c r="K92" s="7">
        <v>270</v>
      </c>
      <c r="L92" s="5"/>
      <c r="M92" s="5"/>
      <c r="N92" s="85"/>
      <c r="P92" s="102">
        <v>82</v>
      </c>
      <c r="Q92" s="5">
        <v>820</v>
      </c>
      <c r="R92" s="7">
        <v>96</v>
      </c>
      <c r="S92" s="7">
        <v>728</v>
      </c>
      <c r="T92" s="5"/>
      <c r="U92" s="85"/>
      <c r="W92" s="102">
        <v>72</v>
      </c>
      <c r="X92" s="101">
        <v>492</v>
      </c>
      <c r="Y92" s="7">
        <v>98</v>
      </c>
      <c r="Z92" s="101">
        <v>413</v>
      </c>
      <c r="AA92" s="5"/>
      <c r="AB92" s="85"/>
    </row>
    <row r="93" spans="1:28" x14ac:dyDescent="0.2">
      <c r="A93" s="83">
        <v>71</v>
      </c>
      <c r="B93" s="5">
        <f t="shared" si="33"/>
        <v>501.3499999999998</v>
      </c>
      <c r="C93" s="5">
        <f t="shared" si="32"/>
        <v>501</v>
      </c>
      <c r="D93" s="5">
        <v>491</v>
      </c>
      <c r="E93" s="7">
        <v>105</v>
      </c>
      <c r="F93" s="85">
        <v>391</v>
      </c>
      <c r="H93" s="83">
        <v>39</v>
      </c>
      <c r="I93" s="5">
        <v>426</v>
      </c>
      <c r="J93" s="7">
        <v>85</v>
      </c>
      <c r="K93" s="7">
        <v>269</v>
      </c>
      <c r="L93" s="5"/>
      <c r="M93" s="5"/>
      <c r="N93" s="85"/>
      <c r="P93" s="102">
        <v>81</v>
      </c>
      <c r="Q93" s="5">
        <v>828</v>
      </c>
      <c r="R93" s="7">
        <v>97</v>
      </c>
      <c r="S93" s="7">
        <v>723</v>
      </c>
      <c r="T93" s="5"/>
      <c r="U93" s="85"/>
      <c r="W93" s="102">
        <v>71</v>
      </c>
      <c r="X93" s="101">
        <v>496</v>
      </c>
      <c r="Y93" s="7">
        <v>99</v>
      </c>
      <c r="Z93" s="101">
        <v>410</v>
      </c>
      <c r="AA93" s="5"/>
      <c r="AB93" s="85"/>
    </row>
    <row r="94" spans="1:28" x14ac:dyDescent="0.2">
      <c r="A94" s="83">
        <v>70</v>
      </c>
      <c r="B94" s="5">
        <f t="shared" si="33"/>
        <v>506.49999999999977</v>
      </c>
      <c r="C94" s="5">
        <f t="shared" si="32"/>
        <v>507</v>
      </c>
      <c r="D94" s="5">
        <v>496</v>
      </c>
      <c r="E94" s="7">
        <v>106</v>
      </c>
      <c r="F94" s="85">
        <v>389</v>
      </c>
      <c r="H94" s="83">
        <v>38</v>
      </c>
      <c r="I94" s="5">
        <v>437</v>
      </c>
      <c r="J94" s="7">
        <v>86</v>
      </c>
      <c r="K94" s="7">
        <v>268</v>
      </c>
      <c r="L94" s="5"/>
      <c r="M94" s="5"/>
      <c r="N94" s="85"/>
      <c r="P94" s="90">
        <v>80</v>
      </c>
      <c r="Q94" s="103">
        <v>835</v>
      </c>
      <c r="R94" s="7">
        <v>98</v>
      </c>
      <c r="S94" s="7">
        <v>718</v>
      </c>
      <c r="T94" s="5"/>
      <c r="U94" s="85"/>
      <c r="W94" s="90">
        <v>70</v>
      </c>
      <c r="X94" s="91">
        <v>500</v>
      </c>
      <c r="Y94" s="7">
        <v>100</v>
      </c>
      <c r="Z94" s="7">
        <v>407</v>
      </c>
      <c r="AA94" s="5"/>
      <c r="AB94" s="85"/>
    </row>
    <row r="95" spans="1:28" x14ac:dyDescent="0.2">
      <c r="A95" s="83">
        <v>69</v>
      </c>
      <c r="B95" s="5">
        <f t="shared" si="33"/>
        <v>511.64999999999975</v>
      </c>
      <c r="C95" s="5">
        <f t="shared" si="32"/>
        <v>512</v>
      </c>
      <c r="D95" s="5">
        <v>501</v>
      </c>
      <c r="E95" s="7">
        <v>107</v>
      </c>
      <c r="F95" s="85">
        <v>388</v>
      </c>
      <c r="H95" s="83">
        <v>37</v>
      </c>
      <c r="I95" s="5">
        <v>446</v>
      </c>
      <c r="J95" s="7">
        <v>87</v>
      </c>
      <c r="K95" s="7">
        <v>266</v>
      </c>
      <c r="L95" s="5"/>
      <c r="M95" s="5"/>
      <c r="N95" s="85"/>
      <c r="P95" s="102">
        <v>79</v>
      </c>
      <c r="Q95" s="5">
        <v>843</v>
      </c>
      <c r="R95" s="7">
        <v>99</v>
      </c>
      <c r="S95" s="7">
        <v>714</v>
      </c>
      <c r="T95" s="5"/>
      <c r="U95" s="85"/>
      <c r="W95" s="102">
        <v>69</v>
      </c>
      <c r="X95" s="101">
        <v>504</v>
      </c>
      <c r="Y95" s="7">
        <v>101</v>
      </c>
      <c r="Z95" s="101">
        <v>405</v>
      </c>
      <c r="AA95" s="5"/>
      <c r="AB95" s="85"/>
    </row>
    <row r="96" spans="1:28" x14ac:dyDescent="0.2">
      <c r="A96" s="83">
        <v>68</v>
      </c>
      <c r="B96" s="5">
        <f t="shared" si="33"/>
        <v>516.79999999999973</v>
      </c>
      <c r="C96" s="5">
        <f t="shared" si="32"/>
        <v>517</v>
      </c>
      <c r="D96" s="5">
        <v>506</v>
      </c>
      <c r="E96" s="7">
        <v>108</v>
      </c>
      <c r="F96" s="85">
        <v>387</v>
      </c>
      <c r="H96" s="83">
        <v>36</v>
      </c>
      <c r="I96" s="5">
        <v>457</v>
      </c>
      <c r="J96" s="7">
        <v>88</v>
      </c>
      <c r="K96" s="7">
        <v>265</v>
      </c>
      <c r="L96" s="5"/>
      <c r="M96" s="5"/>
      <c r="N96" s="85"/>
      <c r="P96" s="102">
        <v>78</v>
      </c>
      <c r="Q96" s="5">
        <v>851</v>
      </c>
      <c r="R96" s="7">
        <v>100</v>
      </c>
      <c r="S96" s="101">
        <v>710</v>
      </c>
      <c r="T96" s="5"/>
      <c r="U96" s="85"/>
      <c r="W96" s="102">
        <v>68</v>
      </c>
      <c r="X96" s="101">
        <v>510</v>
      </c>
      <c r="Y96" s="7">
        <v>102</v>
      </c>
      <c r="Z96" s="101">
        <v>403</v>
      </c>
      <c r="AA96" s="5"/>
      <c r="AB96" s="85"/>
    </row>
    <row r="97" spans="1:28" x14ac:dyDescent="0.2">
      <c r="A97" s="83">
        <v>67</v>
      </c>
      <c r="B97" s="5">
        <f t="shared" si="33"/>
        <v>521.9499999999997</v>
      </c>
      <c r="C97" s="5">
        <f t="shared" si="32"/>
        <v>522</v>
      </c>
      <c r="D97" s="5">
        <v>511</v>
      </c>
      <c r="E97" s="7">
        <v>109</v>
      </c>
      <c r="F97" s="85">
        <v>386</v>
      </c>
      <c r="H97" s="83">
        <v>35</v>
      </c>
      <c r="I97" s="5">
        <v>468</v>
      </c>
      <c r="J97" s="7">
        <v>89</v>
      </c>
      <c r="K97" s="7">
        <v>264</v>
      </c>
      <c r="L97" s="5"/>
      <c r="M97" s="5"/>
      <c r="N97" s="85"/>
      <c r="P97" s="102">
        <v>77</v>
      </c>
      <c r="Q97" s="5">
        <v>859</v>
      </c>
      <c r="R97" s="7">
        <v>101</v>
      </c>
      <c r="S97" s="7">
        <v>705</v>
      </c>
      <c r="T97" s="5"/>
      <c r="U97" s="85"/>
      <c r="W97" s="102">
        <v>67</v>
      </c>
      <c r="X97" s="101">
        <v>515</v>
      </c>
      <c r="Y97" s="7">
        <v>103</v>
      </c>
      <c r="Z97" s="101">
        <v>400</v>
      </c>
      <c r="AA97" s="5"/>
      <c r="AB97" s="85"/>
    </row>
    <row r="98" spans="1:28" x14ac:dyDescent="0.2">
      <c r="A98" s="83">
        <v>66</v>
      </c>
      <c r="B98" s="5">
        <f t="shared" si="33"/>
        <v>527.09999999999968</v>
      </c>
      <c r="C98" s="5">
        <f t="shared" si="32"/>
        <v>527</v>
      </c>
      <c r="D98" s="5">
        <v>517</v>
      </c>
      <c r="E98" s="7">
        <v>110</v>
      </c>
      <c r="F98" s="85">
        <v>385</v>
      </c>
      <c r="H98" s="83">
        <v>34</v>
      </c>
      <c r="I98" s="5">
        <v>479</v>
      </c>
      <c r="J98" s="7">
        <v>90</v>
      </c>
      <c r="K98" s="7">
        <v>263</v>
      </c>
      <c r="L98" s="5"/>
      <c r="M98" s="5"/>
      <c r="N98" s="85"/>
      <c r="P98" s="102">
        <v>76</v>
      </c>
      <c r="Q98" s="5">
        <v>868</v>
      </c>
      <c r="R98" s="7">
        <v>102</v>
      </c>
      <c r="S98" s="7">
        <v>701</v>
      </c>
      <c r="T98" s="5"/>
      <c r="U98" s="85"/>
      <c r="W98" s="102">
        <v>66</v>
      </c>
      <c r="X98" s="101">
        <v>521</v>
      </c>
      <c r="Y98" s="7">
        <v>104</v>
      </c>
      <c r="Z98" s="101">
        <v>398</v>
      </c>
      <c r="AA98" s="5"/>
      <c r="AB98" s="85"/>
    </row>
    <row r="99" spans="1:28" x14ac:dyDescent="0.2">
      <c r="A99" s="83">
        <v>65</v>
      </c>
      <c r="B99" s="5">
        <f t="shared" si="33"/>
        <v>532.24999999999966</v>
      </c>
      <c r="C99" s="5">
        <f t="shared" si="32"/>
        <v>532</v>
      </c>
      <c r="D99" s="5">
        <v>523</v>
      </c>
      <c r="E99" s="7">
        <v>111</v>
      </c>
      <c r="F99" s="85">
        <v>384</v>
      </c>
      <c r="H99" s="83">
        <v>33</v>
      </c>
      <c r="I99" s="5">
        <v>490</v>
      </c>
      <c r="J99" s="7">
        <v>91</v>
      </c>
      <c r="K99" s="7">
        <v>262</v>
      </c>
      <c r="L99" s="5"/>
      <c r="M99" s="5"/>
      <c r="N99" s="85"/>
      <c r="P99" s="102">
        <v>75</v>
      </c>
      <c r="Q99" s="5">
        <v>877</v>
      </c>
      <c r="R99" s="7">
        <v>103</v>
      </c>
      <c r="S99" s="7">
        <v>697</v>
      </c>
      <c r="T99" s="5"/>
      <c r="U99" s="85"/>
      <c r="W99" s="102">
        <v>65</v>
      </c>
      <c r="X99" s="101">
        <v>527</v>
      </c>
      <c r="Y99" s="7">
        <v>105</v>
      </c>
      <c r="Z99" s="101">
        <v>397</v>
      </c>
      <c r="AA99" s="5"/>
      <c r="AB99" s="85"/>
    </row>
    <row r="100" spans="1:28" x14ac:dyDescent="0.2">
      <c r="A100" s="83">
        <v>64</v>
      </c>
      <c r="B100" s="5">
        <f t="shared" si="33"/>
        <v>537.39999999999964</v>
      </c>
      <c r="C100" s="5">
        <f t="shared" si="32"/>
        <v>537</v>
      </c>
      <c r="D100" s="5">
        <v>529</v>
      </c>
      <c r="E100" s="7">
        <v>112</v>
      </c>
      <c r="F100" s="85">
        <v>383</v>
      </c>
      <c r="H100" s="90">
        <v>32</v>
      </c>
      <c r="I100" s="91">
        <v>500</v>
      </c>
      <c r="J100" s="7">
        <v>92</v>
      </c>
      <c r="K100" s="7">
        <v>261</v>
      </c>
      <c r="L100" s="5"/>
      <c r="M100" s="5"/>
      <c r="N100" s="85"/>
      <c r="P100" s="102">
        <v>74</v>
      </c>
      <c r="Q100" s="5">
        <v>886</v>
      </c>
      <c r="R100" s="7">
        <v>104</v>
      </c>
      <c r="S100" s="7">
        <v>693</v>
      </c>
      <c r="T100" s="5"/>
      <c r="U100" s="85"/>
      <c r="W100" s="102">
        <v>64</v>
      </c>
      <c r="X100" s="101">
        <v>534</v>
      </c>
      <c r="Y100" s="7">
        <v>106</v>
      </c>
      <c r="Z100" s="101">
        <v>395</v>
      </c>
      <c r="AA100" s="5"/>
      <c r="AB100" s="85"/>
    </row>
    <row r="101" spans="1:28" x14ac:dyDescent="0.2">
      <c r="A101" s="83">
        <v>63</v>
      </c>
      <c r="B101" s="5">
        <f t="shared" si="33"/>
        <v>542.54999999999961</v>
      </c>
      <c r="C101" s="5">
        <f t="shared" si="32"/>
        <v>543</v>
      </c>
      <c r="D101" s="5">
        <v>535</v>
      </c>
      <c r="E101" s="7">
        <v>113</v>
      </c>
      <c r="F101" s="85">
        <v>382</v>
      </c>
      <c r="H101" s="83">
        <v>31</v>
      </c>
      <c r="I101" s="5">
        <v>514</v>
      </c>
      <c r="J101" s="7">
        <v>93</v>
      </c>
      <c r="K101" s="7">
        <v>260</v>
      </c>
      <c r="L101" s="5"/>
      <c r="M101" s="5"/>
      <c r="N101" s="85"/>
      <c r="P101" s="102">
        <v>73</v>
      </c>
      <c r="Q101" s="5">
        <v>895</v>
      </c>
      <c r="R101" s="7">
        <v>105</v>
      </c>
      <c r="S101" s="7">
        <v>689</v>
      </c>
      <c r="T101" s="5"/>
      <c r="U101" s="85"/>
      <c r="W101" s="102">
        <v>63</v>
      </c>
      <c r="X101" s="101">
        <v>541</v>
      </c>
      <c r="Y101" s="7">
        <v>107</v>
      </c>
      <c r="Z101" s="101">
        <v>393</v>
      </c>
      <c r="AA101" s="5"/>
      <c r="AB101" s="85"/>
    </row>
    <row r="102" spans="1:28" x14ac:dyDescent="0.2">
      <c r="A102" s="83">
        <v>62</v>
      </c>
      <c r="B102" s="5">
        <f t="shared" si="33"/>
        <v>547.69999999999959</v>
      </c>
      <c r="C102" s="5">
        <f t="shared" si="32"/>
        <v>548</v>
      </c>
      <c r="D102" s="5">
        <v>542</v>
      </c>
      <c r="E102" s="7">
        <v>114</v>
      </c>
      <c r="F102" s="85">
        <v>381</v>
      </c>
      <c r="H102" s="90">
        <v>30</v>
      </c>
      <c r="I102" s="91">
        <v>533</v>
      </c>
      <c r="J102" s="7">
        <v>94</v>
      </c>
      <c r="K102" s="7">
        <v>259</v>
      </c>
      <c r="L102" s="5"/>
      <c r="M102" s="5"/>
      <c r="N102" s="85"/>
      <c r="P102" s="102">
        <v>72</v>
      </c>
      <c r="Q102" s="5">
        <v>905</v>
      </c>
      <c r="R102" s="7">
        <v>106</v>
      </c>
      <c r="S102" s="7">
        <v>685</v>
      </c>
      <c r="T102" s="5"/>
      <c r="U102" s="85"/>
      <c r="W102" s="102">
        <v>62</v>
      </c>
      <c r="X102" s="101">
        <v>548</v>
      </c>
      <c r="Y102" s="7">
        <v>108</v>
      </c>
      <c r="Z102" s="101">
        <v>391</v>
      </c>
      <c r="AA102" s="5"/>
      <c r="AB102" s="85"/>
    </row>
    <row r="103" spans="1:28" x14ac:dyDescent="0.2">
      <c r="A103" s="83">
        <v>61</v>
      </c>
      <c r="B103" s="5">
        <f t="shared" si="33"/>
        <v>552.84999999999957</v>
      </c>
      <c r="C103" s="5">
        <f t="shared" si="32"/>
        <v>553</v>
      </c>
      <c r="D103" s="5">
        <v>550</v>
      </c>
      <c r="E103" s="7">
        <v>115</v>
      </c>
      <c r="F103" s="85">
        <v>380</v>
      </c>
      <c r="H103" s="83">
        <v>29</v>
      </c>
      <c r="I103" s="5">
        <v>556</v>
      </c>
      <c r="J103" s="7">
        <v>95</v>
      </c>
      <c r="K103" s="7">
        <v>258</v>
      </c>
      <c r="L103" s="5"/>
      <c r="M103" s="5"/>
      <c r="N103" s="85"/>
      <c r="P103" s="102">
        <v>71</v>
      </c>
      <c r="Q103" s="5">
        <v>915</v>
      </c>
      <c r="R103" s="7">
        <v>107</v>
      </c>
      <c r="S103" s="7">
        <v>681</v>
      </c>
      <c r="T103" s="5"/>
      <c r="U103" s="85"/>
      <c r="W103" s="102">
        <v>61</v>
      </c>
      <c r="X103" s="101">
        <v>555</v>
      </c>
      <c r="Y103" s="7">
        <v>109</v>
      </c>
      <c r="Z103" s="101">
        <v>390</v>
      </c>
      <c r="AA103" s="5"/>
      <c r="AB103" s="85"/>
    </row>
    <row r="104" spans="1:28" x14ac:dyDescent="0.2">
      <c r="A104" s="90">
        <v>60</v>
      </c>
      <c r="B104" s="91">
        <v>558</v>
      </c>
      <c r="C104" s="91">
        <v>558</v>
      </c>
      <c r="D104" s="91">
        <v>558</v>
      </c>
      <c r="E104" s="7">
        <v>116</v>
      </c>
      <c r="F104" s="85">
        <v>379</v>
      </c>
      <c r="H104" s="83">
        <v>28</v>
      </c>
      <c r="I104" s="5">
        <v>577</v>
      </c>
      <c r="J104" s="7">
        <v>96</v>
      </c>
      <c r="K104" s="7">
        <v>257</v>
      </c>
      <c r="L104" s="5"/>
      <c r="M104" s="5"/>
      <c r="N104" s="85"/>
      <c r="P104" s="90">
        <v>70</v>
      </c>
      <c r="Q104" s="103">
        <v>925</v>
      </c>
      <c r="R104" s="7">
        <v>108</v>
      </c>
      <c r="S104" s="7">
        <v>677</v>
      </c>
      <c r="T104" s="5"/>
      <c r="U104" s="85"/>
      <c r="W104" s="102">
        <v>60</v>
      </c>
      <c r="X104" s="101">
        <v>562</v>
      </c>
      <c r="Y104" s="7">
        <v>110</v>
      </c>
      <c r="Z104" s="101">
        <v>388</v>
      </c>
      <c r="AA104" s="5"/>
      <c r="AB104" s="85"/>
    </row>
    <row r="105" spans="1:28" x14ac:dyDescent="0.2">
      <c r="A105" s="83">
        <v>59</v>
      </c>
      <c r="B105" s="5">
        <f>B104+(($B$124-$B$104)/($A$104-$A$124))</f>
        <v>569.15</v>
      </c>
      <c r="C105" s="5">
        <f t="shared" si="32"/>
        <v>569</v>
      </c>
      <c r="D105" s="5">
        <v>566</v>
      </c>
      <c r="E105" s="7">
        <v>117</v>
      </c>
      <c r="F105" s="85">
        <v>378</v>
      </c>
      <c r="H105" s="90">
        <v>27</v>
      </c>
      <c r="I105" s="91">
        <v>600</v>
      </c>
      <c r="J105" s="7">
        <v>97</v>
      </c>
      <c r="K105" s="7">
        <v>257</v>
      </c>
      <c r="L105" s="5"/>
      <c r="M105" s="5"/>
      <c r="N105" s="85"/>
      <c r="P105" s="102">
        <v>69</v>
      </c>
      <c r="Q105" s="5">
        <v>935</v>
      </c>
      <c r="R105" s="7">
        <v>109</v>
      </c>
      <c r="S105" s="7">
        <v>673</v>
      </c>
      <c r="T105" s="5"/>
      <c r="U105" s="85"/>
      <c r="W105" s="102">
        <v>59</v>
      </c>
      <c r="X105" s="101">
        <v>570</v>
      </c>
      <c r="Y105" s="7">
        <v>111</v>
      </c>
      <c r="Z105" s="101">
        <v>387</v>
      </c>
      <c r="AA105" s="5"/>
      <c r="AB105" s="85"/>
    </row>
    <row r="106" spans="1:28" x14ac:dyDescent="0.2">
      <c r="A106" s="83">
        <v>58</v>
      </c>
      <c r="B106" s="5">
        <f t="shared" ref="B106:B123" si="34">B105+(($B$124-$B$104)/($A$104-$A$124))</f>
        <v>580.29999999999995</v>
      </c>
      <c r="C106" s="5">
        <f t="shared" si="32"/>
        <v>580</v>
      </c>
      <c r="D106" s="5">
        <v>574</v>
      </c>
      <c r="E106" s="7">
        <v>118</v>
      </c>
      <c r="F106" s="85">
        <v>377</v>
      </c>
      <c r="H106" s="83">
        <v>26</v>
      </c>
      <c r="I106" s="5">
        <v>625</v>
      </c>
      <c r="J106" s="7">
        <v>98</v>
      </c>
      <c r="K106" s="7">
        <v>256</v>
      </c>
      <c r="L106" s="5"/>
      <c r="M106" s="5"/>
      <c r="N106" s="85"/>
      <c r="P106" s="102">
        <v>68</v>
      </c>
      <c r="Q106" s="5">
        <v>948</v>
      </c>
      <c r="R106" s="7">
        <v>110</v>
      </c>
      <c r="S106" s="101">
        <v>670</v>
      </c>
      <c r="T106" s="5"/>
      <c r="U106" s="85"/>
      <c r="W106" s="102">
        <v>58</v>
      </c>
      <c r="X106" s="101">
        <v>578</v>
      </c>
      <c r="Y106" s="7">
        <v>112</v>
      </c>
      <c r="Z106" s="101">
        <v>386</v>
      </c>
      <c r="AA106" s="5"/>
      <c r="AB106" s="85"/>
    </row>
    <row r="107" spans="1:28" x14ac:dyDescent="0.2">
      <c r="A107" s="83">
        <v>57</v>
      </c>
      <c r="B107" s="5">
        <f t="shared" si="34"/>
        <v>591.44999999999993</v>
      </c>
      <c r="C107" s="5">
        <f t="shared" si="32"/>
        <v>591</v>
      </c>
      <c r="D107" s="5">
        <v>583</v>
      </c>
      <c r="E107" s="7">
        <v>119</v>
      </c>
      <c r="F107" s="85">
        <v>376</v>
      </c>
      <c r="H107" s="83">
        <v>25</v>
      </c>
      <c r="I107" s="5">
        <v>650</v>
      </c>
      <c r="J107" s="7">
        <v>99</v>
      </c>
      <c r="K107" s="7">
        <v>255</v>
      </c>
      <c r="L107" s="5"/>
      <c r="M107" s="5"/>
      <c r="N107" s="85"/>
      <c r="P107" s="102">
        <v>67</v>
      </c>
      <c r="Q107" s="5">
        <v>960</v>
      </c>
      <c r="R107" s="7">
        <v>111</v>
      </c>
      <c r="S107" s="7">
        <v>666</v>
      </c>
      <c r="T107" s="5"/>
      <c r="U107" s="85"/>
      <c r="W107" s="102">
        <v>57</v>
      </c>
      <c r="X107" s="101">
        <v>586</v>
      </c>
      <c r="Y107" s="7">
        <v>113</v>
      </c>
      <c r="Z107" s="101">
        <v>384</v>
      </c>
      <c r="AA107" s="5"/>
      <c r="AB107" s="85"/>
    </row>
    <row r="108" spans="1:28" x14ac:dyDescent="0.2">
      <c r="A108" s="83">
        <v>56</v>
      </c>
      <c r="B108" s="5">
        <f t="shared" si="34"/>
        <v>602.59999999999991</v>
      </c>
      <c r="C108" s="5">
        <f t="shared" si="32"/>
        <v>603</v>
      </c>
      <c r="D108" s="5">
        <v>592</v>
      </c>
      <c r="E108" s="7">
        <v>120</v>
      </c>
      <c r="F108" s="85">
        <v>375</v>
      </c>
      <c r="H108" s="83">
        <v>24</v>
      </c>
      <c r="I108" s="5">
        <v>675</v>
      </c>
      <c r="J108" s="7">
        <v>100</v>
      </c>
      <c r="K108" s="7">
        <v>254</v>
      </c>
      <c r="L108" s="5"/>
      <c r="M108" s="5"/>
      <c r="N108" s="85"/>
      <c r="P108" s="102">
        <v>66</v>
      </c>
      <c r="Q108" s="5">
        <v>972</v>
      </c>
      <c r="R108" s="7">
        <v>112</v>
      </c>
      <c r="S108" s="7">
        <v>663</v>
      </c>
      <c r="T108" s="5"/>
      <c r="U108" s="85"/>
      <c r="W108" s="102">
        <v>56</v>
      </c>
      <c r="X108" s="101">
        <v>594</v>
      </c>
      <c r="Y108" s="7">
        <v>114</v>
      </c>
      <c r="Z108" s="101">
        <v>383</v>
      </c>
      <c r="AA108" s="5"/>
      <c r="AB108" s="85"/>
    </row>
    <row r="109" spans="1:28" x14ac:dyDescent="0.2">
      <c r="A109" s="83">
        <v>55</v>
      </c>
      <c r="B109" s="5">
        <f t="shared" si="34"/>
        <v>613.74999999999989</v>
      </c>
      <c r="C109" s="5">
        <f t="shared" si="32"/>
        <v>614</v>
      </c>
      <c r="D109" s="5">
        <v>602</v>
      </c>
      <c r="E109" s="7">
        <v>121</v>
      </c>
      <c r="F109" s="85">
        <v>374</v>
      </c>
      <c r="H109" s="90">
        <v>23</v>
      </c>
      <c r="I109" s="91">
        <v>700</v>
      </c>
      <c r="J109" s="7">
        <v>101</v>
      </c>
      <c r="K109" s="7">
        <v>254</v>
      </c>
      <c r="L109" s="5"/>
      <c r="M109" s="5"/>
      <c r="N109" s="85"/>
      <c r="P109" s="102">
        <v>65</v>
      </c>
      <c r="Q109" s="5">
        <v>985</v>
      </c>
      <c r="R109" s="7">
        <v>113</v>
      </c>
      <c r="S109" s="7">
        <v>660</v>
      </c>
      <c r="T109" s="5"/>
      <c r="U109" s="85"/>
      <c r="W109" s="102">
        <v>55</v>
      </c>
      <c r="X109" s="101">
        <v>604</v>
      </c>
      <c r="Y109" s="7">
        <v>115</v>
      </c>
      <c r="Z109" s="101">
        <v>382</v>
      </c>
      <c r="AA109" s="5"/>
      <c r="AB109" s="85"/>
    </row>
    <row r="110" spans="1:28" x14ac:dyDescent="0.2">
      <c r="A110" s="83">
        <v>54</v>
      </c>
      <c r="B110" s="5">
        <f t="shared" si="34"/>
        <v>624.89999999999986</v>
      </c>
      <c r="C110" s="5">
        <f t="shared" si="32"/>
        <v>625</v>
      </c>
      <c r="D110" s="5">
        <v>612</v>
      </c>
      <c r="E110" s="7">
        <v>122</v>
      </c>
      <c r="F110" s="85">
        <v>374</v>
      </c>
      <c r="H110" s="83">
        <v>22</v>
      </c>
      <c r="I110" s="5">
        <v>733</v>
      </c>
      <c r="J110" s="7">
        <v>102</v>
      </c>
      <c r="K110" s="7">
        <v>253</v>
      </c>
      <c r="L110" s="5"/>
      <c r="M110" s="5"/>
      <c r="N110" s="85"/>
      <c r="P110" s="90">
        <v>64</v>
      </c>
      <c r="Q110" s="103">
        <v>1000</v>
      </c>
      <c r="R110" s="7">
        <v>114</v>
      </c>
      <c r="S110" s="7">
        <v>658</v>
      </c>
      <c r="T110" s="5"/>
      <c r="U110" s="85"/>
      <c r="W110" s="102">
        <v>54</v>
      </c>
      <c r="X110" s="101">
        <v>613</v>
      </c>
      <c r="Y110" s="7">
        <v>116</v>
      </c>
      <c r="Z110" s="101">
        <v>381</v>
      </c>
      <c r="AA110" s="5"/>
      <c r="AB110" s="85"/>
    </row>
    <row r="111" spans="1:28" x14ac:dyDescent="0.2">
      <c r="A111" s="83">
        <v>53</v>
      </c>
      <c r="B111" s="5">
        <f t="shared" si="34"/>
        <v>636.04999999999984</v>
      </c>
      <c r="C111" s="5">
        <f t="shared" si="32"/>
        <v>636</v>
      </c>
      <c r="D111" s="5">
        <v>623</v>
      </c>
      <c r="E111" s="7">
        <v>123</v>
      </c>
      <c r="F111" s="85">
        <v>373</v>
      </c>
      <c r="H111" s="83">
        <v>21</v>
      </c>
      <c r="I111" s="5">
        <v>766</v>
      </c>
      <c r="J111" s="7">
        <v>103</v>
      </c>
      <c r="K111" s="7">
        <v>252</v>
      </c>
      <c r="L111" s="5"/>
      <c r="M111" s="5"/>
      <c r="N111" s="85"/>
      <c r="P111" s="102">
        <v>63</v>
      </c>
      <c r="Q111" s="5">
        <v>1015</v>
      </c>
      <c r="R111" s="7">
        <v>115</v>
      </c>
      <c r="S111" s="7">
        <v>655</v>
      </c>
      <c r="T111" s="5"/>
      <c r="U111" s="85"/>
      <c r="W111" s="102">
        <v>53</v>
      </c>
      <c r="X111" s="101">
        <v>622</v>
      </c>
      <c r="Y111" s="7">
        <v>117</v>
      </c>
      <c r="Z111" s="101">
        <v>380</v>
      </c>
      <c r="AA111" s="5"/>
      <c r="AB111" s="85"/>
    </row>
    <row r="112" spans="1:28" x14ac:dyDescent="0.2">
      <c r="A112" s="83">
        <v>52</v>
      </c>
      <c r="B112" s="5">
        <f t="shared" si="34"/>
        <v>647.19999999999982</v>
      </c>
      <c r="C112" s="5">
        <f t="shared" si="32"/>
        <v>647</v>
      </c>
      <c r="D112" s="5">
        <v>633</v>
      </c>
      <c r="E112" s="7">
        <v>124</v>
      </c>
      <c r="F112" s="85">
        <v>372</v>
      </c>
      <c r="H112" s="90">
        <v>20</v>
      </c>
      <c r="I112" s="91">
        <v>800</v>
      </c>
      <c r="J112" s="7">
        <v>104</v>
      </c>
      <c r="K112" s="7">
        <v>252</v>
      </c>
      <c r="L112" s="5"/>
      <c r="M112" s="5"/>
      <c r="N112" s="85"/>
      <c r="P112" s="102">
        <v>62</v>
      </c>
      <c r="Q112" s="5">
        <v>1030</v>
      </c>
      <c r="R112" s="7">
        <v>116</v>
      </c>
      <c r="S112" s="7">
        <v>652</v>
      </c>
      <c r="T112" s="5"/>
      <c r="U112" s="85"/>
      <c r="W112" s="102">
        <v>52</v>
      </c>
      <c r="X112" s="101">
        <v>631</v>
      </c>
      <c r="Y112" s="7">
        <v>118</v>
      </c>
      <c r="Z112" s="101">
        <v>379</v>
      </c>
      <c r="AA112" s="5"/>
      <c r="AB112" s="85"/>
    </row>
    <row r="113" spans="1:28" x14ac:dyDescent="0.2">
      <c r="A113" s="83">
        <v>51</v>
      </c>
      <c r="B113" s="5">
        <f t="shared" si="34"/>
        <v>658.3499999999998</v>
      </c>
      <c r="C113" s="5">
        <f t="shared" si="32"/>
        <v>658</v>
      </c>
      <c r="D113" s="5">
        <v>643</v>
      </c>
      <c r="E113" s="7">
        <v>125</v>
      </c>
      <c r="F113" s="85">
        <v>372</v>
      </c>
      <c r="H113" s="83">
        <v>19</v>
      </c>
      <c r="I113" s="5">
        <v>833</v>
      </c>
      <c r="J113" s="7">
        <v>105</v>
      </c>
      <c r="K113" s="7">
        <v>251</v>
      </c>
      <c r="L113" s="5"/>
      <c r="M113" s="5"/>
      <c r="N113" s="85"/>
      <c r="P113" s="102">
        <v>61</v>
      </c>
      <c r="Q113" s="5">
        <v>1048</v>
      </c>
      <c r="R113" s="7">
        <v>117</v>
      </c>
      <c r="S113" s="7">
        <v>649</v>
      </c>
      <c r="T113" s="5"/>
      <c r="U113" s="85"/>
      <c r="W113" s="102">
        <v>51</v>
      </c>
      <c r="X113" s="101">
        <v>640</v>
      </c>
      <c r="Y113" s="7">
        <v>119</v>
      </c>
      <c r="Z113" s="101">
        <v>378</v>
      </c>
      <c r="AA113" s="5"/>
      <c r="AB113" s="85"/>
    </row>
    <row r="114" spans="1:28" x14ac:dyDescent="0.2">
      <c r="A114" s="83">
        <v>50</v>
      </c>
      <c r="B114" s="5">
        <f t="shared" si="34"/>
        <v>669.49999999999977</v>
      </c>
      <c r="C114" s="5">
        <f t="shared" si="32"/>
        <v>670</v>
      </c>
      <c r="D114" s="5">
        <v>654</v>
      </c>
      <c r="E114" s="7">
        <v>126</v>
      </c>
      <c r="F114" s="85">
        <v>371</v>
      </c>
      <c r="H114" s="83">
        <v>18</v>
      </c>
      <c r="I114" s="5">
        <v>866</v>
      </c>
      <c r="J114" s="7">
        <v>106</v>
      </c>
      <c r="K114" s="7">
        <v>250</v>
      </c>
      <c r="L114" s="5"/>
      <c r="M114" s="5"/>
      <c r="N114" s="85"/>
      <c r="P114" s="90">
        <v>60</v>
      </c>
      <c r="Q114" s="103">
        <v>1065</v>
      </c>
      <c r="R114" s="7">
        <v>118</v>
      </c>
      <c r="S114" s="7">
        <v>646</v>
      </c>
      <c r="T114" s="5"/>
      <c r="U114" s="85"/>
      <c r="W114" s="90">
        <v>50</v>
      </c>
      <c r="X114" s="91">
        <v>650</v>
      </c>
      <c r="Y114" s="7">
        <v>120</v>
      </c>
      <c r="Z114" s="7">
        <v>377</v>
      </c>
      <c r="AA114" s="5"/>
      <c r="AB114" s="85"/>
    </row>
    <row r="115" spans="1:28" x14ac:dyDescent="0.2">
      <c r="A115" s="83">
        <v>49</v>
      </c>
      <c r="B115" s="5">
        <f t="shared" si="34"/>
        <v>680.64999999999975</v>
      </c>
      <c r="C115" s="5">
        <f t="shared" si="32"/>
        <v>681</v>
      </c>
      <c r="D115" s="5">
        <v>665</v>
      </c>
      <c r="E115" s="7">
        <v>127</v>
      </c>
      <c r="F115" s="85">
        <v>370</v>
      </c>
      <c r="H115" s="90">
        <v>17</v>
      </c>
      <c r="I115" s="91">
        <v>900</v>
      </c>
      <c r="J115" s="7">
        <v>107</v>
      </c>
      <c r="K115" s="7">
        <v>250</v>
      </c>
      <c r="L115" s="5"/>
      <c r="M115" s="5"/>
      <c r="N115" s="85"/>
      <c r="P115" s="102">
        <v>59</v>
      </c>
      <c r="Q115" s="5">
        <v>1082</v>
      </c>
      <c r="R115" s="7">
        <v>119</v>
      </c>
      <c r="S115" s="7">
        <v>643</v>
      </c>
      <c r="T115" s="5"/>
      <c r="U115" s="85"/>
      <c r="W115" s="102">
        <v>49</v>
      </c>
      <c r="X115" s="101">
        <v>660</v>
      </c>
      <c r="Y115" s="7">
        <v>121</v>
      </c>
      <c r="Z115" s="101">
        <v>376</v>
      </c>
      <c r="AA115" s="5"/>
      <c r="AB115" s="85"/>
    </row>
    <row r="116" spans="1:28" x14ac:dyDescent="0.2">
      <c r="A116" s="83">
        <v>48</v>
      </c>
      <c r="B116" s="5">
        <f t="shared" si="34"/>
        <v>691.79999999999973</v>
      </c>
      <c r="C116" s="5">
        <f t="shared" si="32"/>
        <v>692</v>
      </c>
      <c r="D116" s="5">
        <v>676</v>
      </c>
      <c r="E116" s="7">
        <v>128</v>
      </c>
      <c r="F116" s="85">
        <v>370</v>
      </c>
      <c r="H116" s="83">
        <v>16</v>
      </c>
      <c r="I116" s="5">
        <v>950</v>
      </c>
      <c r="J116" s="7">
        <v>108</v>
      </c>
      <c r="K116" s="7">
        <v>249</v>
      </c>
      <c r="L116" s="5"/>
      <c r="M116" s="5"/>
      <c r="N116" s="85"/>
      <c r="P116" s="102">
        <v>58</v>
      </c>
      <c r="Q116" s="5">
        <v>1101</v>
      </c>
      <c r="R116" s="7">
        <v>120</v>
      </c>
      <c r="S116" s="7">
        <v>640</v>
      </c>
      <c r="T116" s="5"/>
      <c r="U116" s="85"/>
      <c r="W116" s="102">
        <v>48</v>
      </c>
      <c r="X116" s="101">
        <v>670</v>
      </c>
      <c r="Y116" s="7">
        <v>122</v>
      </c>
      <c r="Z116" s="101">
        <v>375</v>
      </c>
      <c r="AA116" s="5"/>
      <c r="AB116" s="85"/>
    </row>
    <row r="117" spans="1:28" x14ac:dyDescent="0.2">
      <c r="A117" s="83">
        <v>47</v>
      </c>
      <c r="B117" s="5">
        <f t="shared" si="34"/>
        <v>702.9499999999997</v>
      </c>
      <c r="C117" s="5">
        <f t="shared" si="32"/>
        <v>703</v>
      </c>
      <c r="D117" s="5">
        <v>687</v>
      </c>
      <c r="E117" s="7">
        <v>129</v>
      </c>
      <c r="F117" s="85">
        <v>369</v>
      </c>
      <c r="H117" s="90">
        <v>15</v>
      </c>
      <c r="I117" s="91">
        <v>1000</v>
      </c>
      <c r="J117" s="7">
        <v>109</v>
      </c>
      <c r="K117" s="7">
        <v>248</v>
      </c>
      <c r="L117" s="5"/>
      <c r="M117" s="5"/>
      <c r="N117" s="85"/>
      <c r="P117" s="102">
        <v>57</v>
      </c>
      <c r="Q117" s="5">
        <v>1117</v>
      </c>
      <c r="R117" s="7">
        <v>121</v>
      </c>
      <c r="S117" s="7">
        <v>637</v>
      </c>
      <c r="T117" s="5"/>
      <c r="U117" s="85"/>
      <c r="W117" s="102">
        <v>47</v>
      </c>
      <c r="X117" s="101">
        <v>680</v>
      </c>
      <c r="Y117" s="7">
        <v>123</v>
      </c>
      <c r="Z117" s="101">
        <v>374</v>
      </c>
      <c r="AA117" s="5"/>
      <c r="AB117" s="85"/>
    </row>
    <row r="118" spans="1:28" x14ac:dyDescent="0.2">
      <c r="A118" s="83">
        <v>46</v>
      </c>
      <c r="B118" s="5">
        <f t="shared" si="34"/>
        <v>714.09999999999968</v>
      </c>
      <c r="C118" s="5">
        <f t="shared" si="32"/>
        <v>714</v>
      </c>
      <c r="D118" s="5">
        <v>699</v>
      </c>
      <c r="E118" s="7">
        <v>130</v>
      </c>
      <c r="F118" s="85">
        <v>368</v>
      </c>
      <c r="H118" s="95">
        <v>14</v>
      </c>
      <c r="I118" s="96">
        <v>1100</v>
      </c>
      <c r="J118" s="92">
        <v>110</v>
      </c>
      <c r="K118" s="92">
        <v>247</v>
      </c>
      <c r="L118" s="38"/>
      <c r="M118" s="38"/>
      <c r="N118" s="93"/>
      <c r="P118" s="102">
        <v>56</v>
      </c>
      <c r="Q118" s="5">
        <v>1133</v>
      </c>
      <c r="R118" s="7">
        <v>122</v>
      </c>
      <c r="S118" s="7">
        <v>634</v>
      </c>
      <c r="T118" s="5"/>
      <c r="U118" s="85"/>
      <c r="W118" s="102">
        <v>46</v>
      </c>
      <c r="X118" s="101">
        <v>693</v>
      </c>
      <c r="Y118" s="7">
        <v>124</v>
      </c>
      <c r="Z118" s="101">
        <v>373</v>
      </c>
      <c r="AA118" s="5"/>
      <c r="AB118" s="85"/>
    </row>
    <row r="119" spans="1:28" x14ac:dyDescent="0.2">
      <c r="A119" s="83">
        <v>45</v>
      </c>
      <c r="B119" s="5">
        <f t="shared" si="34"/>
        <v>725.24999999999966</v>
      </c>
      <c r="C119" s="5">
        <f t="shared" si="32"/>
        <v>725</v>
      </c>
      <c r="D119" s="5">
        <v>712</v>
      </c>
      <c r="E119" s="7">
        <v>131</v>
      </c>
      <c r="F119" s="85">
        <v>368</v>
      </c>
      <c r="P119" s="102">
        <v>55</v>
      </c>
      <c r="Q119" s="5">
        <v>1151</v>
      </c>
      <c r="R119" s="7">
        <v>123</v>
      </c>
      <c r="S119" s="7">
        <v>631</v>
      </c>
      <c r="T119" s="5"/>
      <c r="U119" s="85"/>
      <c r="W119" s="102">
        <v>45</v>
      </c>
      <c r="X119" s="101">
        <v>706</v>
      </c>
      <c r="Y119" s="7">
        <v>125</v>
      </c>
      <c r="Z119" s="101">
        <v>373</v>
      </c>
      <c r="AA119" s="5"/>
      <c r="AB119" s="85"/>
    </row>
    <row r="120" spans="1:28" x14ac:dyDescent="0.2">
      <c r="A120" s="83">
        <v>44</v>
      </c>
      <c r="B120" s="5">
        <f t="shared" si="34"/>
        <v>736.39999999999964</v>
      </c>
      <c r="C120" s="5">
        <f t="shared" si="32"/>
        <v>736</v>
      </c>
      <c r="D120" s="5">
        <v>725</v>
      </c>
      <c r="E120" s="7">
        <v>132</v>
      </c>
      <c r="F120" s="85">
        <v>367</v>
      </c>
      <c r="P120" s="102">
        <v>54</v>
      </c>
      <c r="Q120" s="5">
        <v>1171</v>
      </c>
      <c r="R120" s="7">
        <v>124</v>
      </c>
      <c r="S120" s="7">
        <v>628</v>
      </c>
      <c r="T120" s="5"/>
      <c r="U120" s="85"/>
      <c r="W120" s="102">
        <v>44</v>
      </c>
      <c r="X120" s="101">
        <v>720</v>
      </c>
      <c r="Y120" s="7">
        <v>126</v>
      </c>
      <c r="Z120" s="101">
        <v>372</v>
      </c>
      <c r="AA120" s="5"/>
      <c r="AB120" s="85"/>
    </row>
    <row r="121" spans="1:28" x14ac:dyDescent="0.2">
      <c r="A121" s="83">
        <v>43</v>
      </c>
      <c r="B121" s="5">
        <f t="shared" si="34"/>
        <v>747.54999999999961</v>
      </c>
      <c r="C121" s="5">
        <f t="shared" si="32"/>
        <v>748</v>
      </c>
      <c r="D121" s="5">
        <v>737</v>
      </c>
      <c r="E121" s="7">
        <v>133</v>
      </c>
      <c r="F121" s="85">
        <v>366</v>
      </c>
      <c r="P121" s="102">
        <v>53</v>
      </c>
      <c r="Q121" s="5">
        <v>1189</v>
      </c>
      <c r="R121" s="7">
        <v>125</v>
      </c>
      <c r="S121" s="7">
        <v>625</v>
      </c>
      <c r="T121" s="5"/>
      <c r="U121" s="85"/>
      <c r="W121" s="102">
        <v>43</v>
      </c>
      <c r="X121" s="101">
        <v>735</v>
      </c>
      <c r="Y121" s="7">
        <v>127</v>
      </c>
      <c r="Z121" s="101">
        <v>371</v>
      </c>
      <c r="AA121" s="5"/>
      <c r="AB121" s="85"/>
    </row>
    <row r="122" spans="1:28" x14ac:dyDescent="0.2">
      <c r="A122" s="83">
        <v>42</v>
      </c>
      <c r="B122" s="5">
        <f t="shared" si="34"/>
        <v>758.69999999999959</v>
      </c>
      <c r="C122" s="5">
        <f t="shared" si="32"/>
        <v>759</v>
      </c>
      <c r="D122" s="5">
        <v>750</v>
      </c>
      <c r="E122" s="7">
        <v>134</v>
      </c>
      <c r="F122" s="85">
        <v>366</v>
      </c>
      <c r="P122" s="102">
        <v>52</v>
      </c>
      <c r="Q122" s="5">
        <v>1208</v>
      </c>
      <c r="R122" s="7">
        <v>126</v>
      </c>
      <c r="S122" s="7">
        <v>622</v>
      </c>
      <c r="T122" s="5"/>
      <c r="U122" s="85"/>
      <c r="W122" s="102">
        <v>42</v>
      </c>
      <c r="X122" s="101">
        <v>750</v>
      </c>
      <c r="Y122" s="7">
        <v>128</v>
      </c>
      <c r="Z122" s="101">
        <v>370</v>
      </c>
      <c r="AA122" s="5"/>
      <c r="AB122" s="85"/>
    </row>
    <row r="123" spans="1:28" x14ac:dyDescent="0.2">
      <c r="A123" s="83">
        <v>41</v>
      </c>
      <c r="B123" s="5">
        <f t="shared" si="34"/>
        <v>769.84999999999957</v>
      </c>
      <c r="C123" s="5">
        <f t="shared" si="32"/>
        <v>770</v>
      </c>
      <c r="D123" s="5">
        <v>766</v>
      </c>
      <c r="E123" s="7">
        <v>135</v>
      </c>
      <c r="F123" s="85">
        <v>365</v>
      </c>
      <c r="P123" s="102">
        <v>51</v>
      </c>
      <c r="Q123" s="5">
        <v>1230</v>
      </c>
      <c r="R123" s="7">
        <v>127</v>
      </c>
      <c r="S123" s="7">
        <v>619</v>
      </c>
      <c r="T123" s="5"/>
      <c r="U123" s="85"/>
      <c r="W123" s="102">
        <v>41</v>
      </c>
      <c r="X123" s="101">
        <v>769</v>
      </c>
      <c r="Y123" s="7">
        <v>129</v>
      </c>
      <c r="Z123" s="101">
        <v>369</v>
      </c>
      <c r="AA123" s="5"/>
      <c r="AB123" s="85"/>
    </row>
    <row r="124" spans="1:28" x14ac:dyDescent="0.2">
      <c r="A124" s="90">
        <v>40</v>
      </c>
      <c r="B124" s="91">
        <v>781</v>
      </c>
      <c r="C124" s="91">
        <v>781</v>
      </c>
      <c r="D124" s="91">
        <v>781</v>
      </c>
      <c r="E124" s="7">
        <v>136</v>
      </c>
      <c r="F124" s="85">
        <v>364</v>
      </c>
      <c r="P124" s="90">
        <v>50</v>
      </c>
      <c r="Q124" s="103">
        <v>1250</v>
      </c>
      <c r="R124" s="7">
        <v>128</v>
      </c>
      <c r="S124" s="7">
        <v>616</v>
      </c>
      <c r="T124" s="5"/>
      <c r="U124" s="85"/>
      <c r="W124" s="90">
        <v>40</v>
      </c>
      <c r="X124" s="91">
        <v>788</v>
      </c>
      <c r="Y124" s="7">
        <v>130</v>
      </c>
      <c r="Z124" s="101">
        <v>368</v>
      </c>
      <c r="AA124" s="5"/>
      <c r="AB124" s="85"/>
    </row>
    <row r="125" spans="1:28" x14ac:dyDescent="0.2">
      <c r="A125" s="83">
        <v>39</v>
      </c>
      <c r="B125" s="5">
        <f>B124+(($B$134-$B$124)/($A$124-$A$134))</f>
        <v>805.9</v>
      </c>
      <c r="C125" s="5">
        <f t="shared" si="32"/>
        <v>806</v>
      </c>
      <c r="D125" s="5">
        <v>799</v>
      </c>
      <c r="E125" s="7">
        <v>137</v>
      </c>
      <c r="F125" s="85">
        <v>364</v>
      </c>
      <c r="P125" s="102">
        <v>49</v>
      </c>
      <c r="Q125" s="5">
        <v>1275</v>
      </c>
      <c r="R125" s="7">
        <v>129</v>
      </c>
      <c r="S125" s="7">
        <v>613</v>
      </c>
      <c r="T125" s="5"/>
      <c r="U125" s="85"/>
      <c r="W125" s="102">
        <v>39</v>
      </c>
      <c r="X125" s="101">
        <v>808</v>
      </c>
      <c r="Y125" s="7">
        <v>131</v>
      </c>
      <c r="Z125" s="101">
        <v>367</v>
      </c>
      <c r="AA125" s="5"/>
      <c r="AB125" s="85"/>
    </row>
    <row r="126" spans="1:28" x14ac:dyDescent="0.2">
      <c r="A126" s="83">
        <v>38</v>
      </c>
      <c r="B126" s="5">
        <f t="shared" ref="B126:B133" si="35">B125+(($B$134-$B$124)/($A$124-$A$134))</f>
        <v>830.8</v>
      </c>
      <c r="C126" s="5">
        <f t="shared" si="32"/>
        <v>831</v>
      </c>
      <c r="D126" s="5">
        <v>816</v>
      </c>
      <c r="E126" s="7">
        <v>138</v>
      </c>
      <c r="F126" s="85">
        <v>363</v>
      </c>
      <c r="P126" s="102">
        <v>48</v>
      </c>
      <c r="Q126" s="5">
        <v>1300</v>
      </c>
      <c r="R126" s="7">
        <v>130</v>
      </c>
      <c r="S126" s="7">
        <v>610</v>
      </c>
      <c r="T126" s="5"/>
      <c r="U126" s="85"/>
      <c r="W126" s="102">
        <v>38</v>
      </c>
      <c r="X126" s="101">
        <v>825</v>
      </c>
      <c r="Y126" s="7">
        <v>132</v>
      </c>
      <c r="Z126" s="101">
        <v>366</v>
      </c>
      <c r="AA126" s="5"/>
      <c r="AB126" s="85"/>
    </row>
    <row r="127" spans="1:28" x14ac:dyDescent="0.2">
      <c r="A127" s="83">
        <v>37</v>
      </c>
      <c r="B127" s="5">
        <f t="shared" si="35"/>
        <v>855.69999999999993</v>
      </c>
      <c r="C127" s="5">
        <f t="shared" si="32"/>
        <v>856</v>
      </c>
      <c r="D127" s="5">
        <v>835</v>
      </c>
      <c r="E127" s="7">
        <v>139</v>
      </c>
      <c r="F127" s="85">
        <v>362</v>
      </c>
      <c r="P127" s="102">
        <v>47</v>
      </c>
      <c r="Q127" s="5">
        <v>1325</v>
      </c>
      <c r="R127" s="7">
        <v>131</v>
      </c>
      <c r="S127" s="7">
        <v>608</v>
      </c>
      <c r="T127" s="5"/>
      <c r="U127" s="85"/>
      <c r="W127" s="102">
        <v>37</v>
      </c>
      <c r="X127" s="101">
        <v>845</v>
      </c>
      <c r="Y127" s="7">
        <v>133</v>
      </c>
      <c r="Z127" s="101">
        <v>365</v>
      </c>
      <c r="AA127" s="5"/>
      <c r="AB127" s="85"/>
    </row>
    <row r="128" spans="1:28" x14ac:dyDescent="0.2">
      <c r="A128" s="83">
        <v>36</v>
      </c>
      <c r="B128" s="5">
        <f t="shared" si="35"/>
        <v>880.59999999999991</v>
      </c>
      <c r="C128" s="5">
        <f t="shared" si="32"/>
        <v>881</v>
      </c>
      <c r="D128" s="5">
        <v>858</v>
      </c>
      <c r="E128" s="7">
        <v>140</v>
      </c>
      <c r="F128" s="85">
        <v>362</v>
      </c>
      <c r="P128" s="102">
        <v>46</v>
      </c>
      <c r="Q128" s="5">
        <v>1350</v>
      </c>
      <c r="R128" s="7">
        <v>132</v>
      </c>
      <c r="S128" s="7">
        <v>605</v>
      </c>
      <c r="T128" s="5"/>
      <c r="U128" s="85"/>
      <c r="W128" s="102">
        <v>36</v>
      </c>
      <c r="X128" s="101">
        <v>865</v>
      </c>
      <c r="Y128" s="7">
        <v>134</v>
      </c>
      <c r="Z128" s="101">
        <v>365</v>
      </c>
      <c r="AA128" s="5"/>
      <c r="AB128" s="85"/>
    </row>
    <row r="129" spans="1:28" x14ac:dyDescent="0.2">
      <c r="A129" s="83">
        <v>35</v>
      </c>
      <c r="B129" s="5">
        <f t="shared" si="35"/>
        <v>905.49999999999989</v>
      </c>
      <c r="C129" s="5">
        <f t="shared" si="32"/>
        <v>906</v>
      </c>
      <c r="D129" s="5">
        <v>882</v>
      </c>
      <c r="E129" s="7">
        <v>141</v>
      </c>
      <c r="F129" s="85">
        <v>361</v>
      </c>
      <c r="P129" s="102">
        <v>45</v>
      </c>
      <c r="Q129" s="5">
        <v>1377</v>
      </c>
      <c r="R129" s="7">
        <v>133</v>
      </c>
      <c r="S129" s="7">
        <v>603</v>
      </c>
      <c r="T129" s="5"/>
      <c r="U129" s="85"/>
      <c r="W129" s="102">
        <v>35</v>
      </c>
      <c r="X129" s="101">
        <v>885</v>
      </c>
      <c r="Y129" s="7">
        <v>135</v>
      </c>
      <c r="Z129" s="101">
        <v>364</v>
      </c>
      <c r="AA129" s="5"/>
      <c r="AB129" s="85"/>
    </row>
    <row r="130" spans="1:28" x14ac:dyDescent="0.2">
      <c r="A130" s="83">
        <v>34</v>
      </c>
      <c r="B130" s="5">
        <f t="shared" si="35"/>
        <v>930.39999999999986</v>
      </c>
      <c r="C130" s="5">
        <f t="shared" si="32"/>
        <v>930</v>
      </c>
      <c r="D130" s="5">
        <v>910</v>
      </c>
      <c r="E130" s="7">
        <v>142</v>
      </c>
      <c r="F130" s="85">
        <v>360</v>
      </c>
      <c r="P130" s="102">
        <v>44</v>
      </c>
      <c r="Q130" s="5">
        <v>1407</v>
      </c>
      <c r="R130" s="7">
        <v>134</v>
      </c>
      <c r="S130" s="7">
        <v>600</v>
      </c>
      <c r="T130" s="5"/>
      <c r="U130" s="85"/>
      <c r="W130" s="102">
        <v>34</v>
      </c>
      <c r="X130" s="101">
        <v>907</v>
      </c>
      <c r="Y130" s="7">
        <v>136</v>
      </c>
      <c r="Z130" s="101">
        <v>363</v>
      </c>
      <c r="AA130" s="5"/>
      <c r="AB130" s="85"/>
    </row>
    <row r="131" spans="1:28" x14ac:dyDescent="0.2">
      <c r="A131" s="83">
        <v>33</v>
      </c>
      <c r="B131" s="5">
        <f t="shared" si="35"/>
        <v>955.29999999999984</v>
      </c>
      <c r="C131" s="5">
        <f t="shared" si="32"/>
        <v>955</v>
      </c>
      <c r="D131" s="5">
        <v>935</v>
      </c>
      <c r="E131" s="7">
        <v>143</v>
      </c>
      <c r="F131" s="85">
        <v>360</v>
      </c>
      <c r="P131" s="102">
        <v>43</v>
      </c>
      <c r="Q131" s="5">
        <v>1437</v>
      </c>
      <c r="R131" s="7">
        <v>135</v>
      </c>
      <c r="S131" s="7">
        <v>597</v>
      </c>
      <c r="T131" s="5"/>
      <c r="U131" s="85"/>
      <c r="W131" s="102">
        <v>33</v>
      </c>
      <c r="X131" s="101">
        <v>930</v>
      </c>
      <c r="Y131" s="7">
        <v>137</v>
      </c>
      <c r="Z131" s="101">
        <v>363</v>
      </c>
      <c r="AA131" s="5"/>
      <c r="AB131" s="85"/>
    </row>
    <row r="132" spans="1:28" x14ac:dyDescent="0.2">
      <c r="A132" s="83">
        <v>32</v>
      </c>
      <c r="B132" s="5">
        <f t="shared" si="35"/>
        <v>980.19999999999982</v>
      </c>
      <c r="C132" s="5">
        <f t="shared" si="32"/>
        <v>980</v>
      </c>
      <c r="D132" s="5">
        <v>965</v>
      </c>
      <c r="E132" s="7">
        <v>144</v>
      </c>
      <c r="F132" s="85">
        <v>359</v>
      </c>
      <c r="P132" s="102">
        <v>42</v>
      </c>
      <c r="Q132" s="5">
        <v>1467</v>
      </c>
      <c r="R132" s="7">
        <v>136</v>
      </c>
      <c r="S132" s="7">
        <v>594</v>
      </c>
      <c r="T132" s="5"/>
      <c r="U132" s="85"/>
      <c r="W132" s="102">
        <v>32</v>
      </c>
      <c r="X132" s="101">
        <v>960</v>
      </c>
      <c r="Y132" s="7">
        <v>138</v>
      </c>
      <c r="Z132" s="101">
        <v>362</v>
      </c>
      <c r="AA132" s="5"/>
      <c r="AB132" s="85"/>
    </row>
    <row r="133" spans="1:28" x14ac:dyDescent="0.2">
      <c r="A133" s="83">
        <v>31</v>
      </c>
      <c r="B133" s="5">
        <f t="shared" si="35"/>
        <v>1005.0999999999998</v>
      </c>
      <c r="C133" s="5">
        <f t="shared" si="32"/>
        <v>1005</v>
      </c>
      <c r="D133" s="5">
        <v>990</v>
      </c>
      <c r="E133" s="7">
        <v>145</v>
      </c>
      <c r="F133" s="85">
        <v>358</v>
      </c>
      <c r="P133" s="90">
        <v>41</v>
      </c>
      <c r="Q133" s="103">
        <v>1500</v>
      </c>
      <c r="R133" s="7">
        <v>137</v>
      </c>
      <c r="S133" s="7">
        <v>592</v>
      </c>
      <c r="T133" s="5"/>
      <c r="U133" s="85"/>
      <c r="W133" s="102">
        <v>31</v>
      </c>
      <c r="X133" s="101">
        <v>990</v>
      </c>
      <c r="Y133" s="7">
        <v>139</v>
      </c>
      <c r="Z133" s="101">
        <v>361</v>
      </c>
      <c r="AA133" s="5"/>
      <c r="AB133" s="85"/>
    </row>
    <row r="134" spans="1:28" x14ac:dyDescent="0.2">
      <c r="A134" s="90">
        <v>30</v>
      </c>
      <c r="B134" s="91">
        <v>1030</v>
      </c>
      <c r="C134" s="91">
        <v>1030</v>
      </c>
      <c r="D134" s="91">
        <v>1030</v>
      </c>
      <c r="E134" s="7">
        <v>146</v>
      </c>
      <c r="F134" s="85">
        <v>358</v>
      </c>
      <c r="P134" s="102">
        <v>40</v>
      </c>
      <c r="Q134" s="5">
        <v>1536</v>
      </c>
      <c r="R134" s="7">
        <v>138</v>
      </c>
      <c r="S134" s="7">
        <v>590</v>
      </c>
      <c r="T134" s="5"/>
      <c r="U134" s="85"/>
      <c r="W134" s="90">
        <v>30</v>
      </c>
      <c r="X134" s="103">
        <v>1029</v>
      </c>
      <c r="Y134" s="7">
        <v>140</v>
      </c>
      <c r="Z134" s="101">
        <v>360</v>
      </c>
      <c r="AA134" s="5"/>
      <c r="AB134" s="85"/>
    </row>
    <row r="135" spans="1:28" x14ac:dyDescent="0.2">
      <c r="A135" s="83">
        <v>29</v>
      </c>
      <c r="B135" s="5">
        <f>B134+(($B$138-$B$134)/($A$134-$A$138))</f>
        <v>1072.5</v>
      </c>
      <c r="C135" s="5">
        <f t="shared" si="32"/>
        <v>1073</v>
      </c>
      <c r="D135" s="5">
        <v>1061</v>
      </c>
      <c r="E135" s="7">
        <v>147</v>
      </c>
      <c r="F135" s="85">
        <v>357</v>
      </c>
      <c r="P135" s="102">
        <v>39</v>
      </c>
      <c r="Q135" s="5">
        <v>1572</v>
      </c>
      <c r="R135" s="7">
        <v>139</v>
      </c>
      <c r="S135" s="7">
        <v>588</v>
      </c>
      <c r="T135" s="5"/>
      <c r="U135" s="85"/>
      <c r="W135" s="102">
        <v>29</v>
      </c>
      <c r="X135" s="101">
        <v>1075</v>
      </c>
      <c r="Y135" s="7">
        <v>141</v>
      </c>
      <c r="Z135" s="101">
        <v>360</v>
      </c>
      <c r="AA135" s="5"/>
      <c r="AB135" s="85"/>
    </row>
    <row r="136" spans="1:28" x14ac:dyDescent="0.2">
      <c r="A136" s="83">
        <v>28</v>
      </c>
      <c r="B136" s="5">
        <f t="shared" ref="B136:B137" si="36">B135+(($B$138-$B$134)/($A$134-$A$138))</f>
        <v>1115</v>
      </c>
      <c r="C136" s="5">
        <f t="shared" si="32"/>
        <v>1115</v>
      </c>
      <c r="D136" s="5">
        <v>1100</v>
      </c>
      <c r="E136" s="7">
        <v>148</v>
      </c>
      <c r="F136" s="85">
        <v>356</v>
      </c>
      <c r="P136" s="102">
        <v>38</v>
      </c>
      <c r="Q136" s="5">
        <v>1610</v>
      </c>
      <c r="R136" s="7">
        <v>140</v>
      </c>
      <c r="S136" s="7">
        <v>585</v>
      </c>
      <c r="T136" s="5"/>
      <c r="U136" s="85"/>
      <c r="W136" s="102">
        <v>28</v>
      </c>
      <c r="X136" s="101">
        <v>1125</v>
      </c>
      <c r="Y136" s="7">
        <v>142</v>
      </c>
      <c r="Z136" s="101">
        <v>359</v>
      </c>
      <c r="AA136" s="5"/>
      <c r="AB136" s="85"/>
    </row>
    <row r="137" spans="1:28" x14ac:dyDescent="0.2">
      <c r="A137" s="83">
        <v>27</v>
      </c>
      <c r="B137" s="5">
        <f t="shared" si="36"/>
        <v>1157.5</v>
      </c>
      <c r="C137" s="5">
        <f t="shared" si="32"/>
        <v>1158</v>
      </c>
      <c r="D137" s="5">
        <v>1150</v>
      </c>
      <c r="E137" s="7">
        <v>149</v>
      </c>
      <c r="F137" s="85">
        <v>356</v>
      </c>
      <c r="P137" s="102">
        <v>37</v>
      </c>
      <c r="Q137" s="5">
        <v>1654</v>
      </c>
      <c r="R137" s="7">
        <v>141</v>
      </c>
      <c r="S137" s="7">
        <v>582</v>
      </c>
      <c r="T137" s="5"/>
      <c r="U137" s="85"/>
      <c r="W137" s="102">
        <v>27</v>
      </c>
      <c r="X137" s="101">
        <v>1175</v>
      </c>
      <c r="Y137" s="7">
        <v>143</v>
      </c>
      <c r="Z137" s="101">
        <v>358</v>
      </c>
      <c r="AA137" s="5"/>
      <c r="AB137" s="85"/>
    </row>
    <row r="138" spans="1:28" x14ac:dyDescent="0.2">
      <c r="A138" s="90">
        <v>26</v>
      </c>
      <c r="B138" s="91">
        <v>1200</v>
      </c>
      <c r="C138" s="91">
        <v>1200</v>
      </c>
      <c r="D138" s="91">
        <v>1200</v>
      </c>
      <c r="E138" s="7">
        <v>150</v>
      </c>
      <c r="F138" s="85">
        <v>355</v>
      </c>
      <c r="P138" s="102">
        <v>36</v>
      </c>
      <c r="Q138" s="5">
        <v>1700</v>
      </c>
      <c r="R138" s="7">
        <v>142</v>
      </c>
      <c r="S138" s="7">
        <v>580</v>
      </c>
      <c r="T138" s="5"/>
      <c r="U138" s="85"/>
      <c r="W138" s="102">
        <v>26</v>
      </c>
      <c r="X138" s="101">
        <v>1230</v>
      </c>
      <c r="Y138" s="7">
        <v>144</v>
      </c>
      <c r="Z138" s="101">
        <v>357</v>
      </c>
      <c r="AA138" s="5"/>
      <c r="AB138" s="85"/>
    </row>
    <row r="139" spans="1:28" x14ac:dyDescent="0.2">
      <c r="A139" s="71"/>
      <c r="B139" s="71"/>
      <c r="C139" s="71"/>
      <c r="D139" s="71"/>
      <c r="E139" s="77"/>
      <c r="F139" s="71"/>
      <c r="P139" s="90">
        <v>35</v>
      </c>
      <c r="Q139" s="103">
        <v>1750</v>
      </c>
      <c r="R139" s="7">
        <v>143</v>
      </c>
      <c r="S139" s="7">
        <v>578</v>
      </c>
      <c r="T139" s="5"/>
      <c r="U139" s="85"/>
      <c r="W139" s="102">
        <v>25</v>
      </c>
      <c r="X139" s="101">
        <v>1285</v>
      </c>
      <c r="Y139" s="7">
        <v>145</v>
      </c>
      <c r="Z139" s="101">
        <v>356</v>
      </c>
      <c r="AA139" s="5"/>
      <c r="AB139" s="85"/>
    </row>
    <row r="140" spans="1:28" x14ac:dyDescent="0.2">
      <c r="A140" s="5"/>
      <c r="B140" s="5"/>
      <c r="C140" s="5"/>
      <c r="D140" s="5"/>
      <c r="E140" s="7"/>
      <c r="F140" s="5"/>
      <c r="P140" s="102">
        <v>34</v>
      </c>
      <c r="Q140" s="5">
        <v>1808</v>
      </c>
      <c r="R140" s="7">
        <v>144</v>
      </c>
      <c r="S140" s="7">
        <v>575</v>
      </c>
      <c r="T140" s="5"/>
      <c r="U140" s="85"/>
      <c r="W140" s="102">
        <v>24</v>
      </c>
      <c r="X140" s="101">
        <v>1350</v>
      </c>
      <c r="Y140" s="7">
        <v>146</v>
      </c>
      <c r="Z140" s="101">
        <v>355</v>
      </c>
      <c r="AA140" s="5"/>
      <c r="AB140" s="85"/>
    </row>
    <row r="141" spans="1:28" x14ac:dyDescent="0.2">
      <c r="A141" s="5"/>
      <c r="B141" s="5"/>
      <c r="C141" s="5"/>
      <c r="D141" s="5"/>
      <c r="E141" s="7"/>
      <c r="F141" s="5"/>
      <c r="P141" s="102">
        <v>33</v>
      </c>
      <c r="Q141" s="5">
        <v>1862</v>
      </c>
      <c r="R141" s="7">
        <v>145</v>
      </c>
      <c r="S141" s="7">
        <v>572</v>
      </c>
      <c r="T141" s="5"/>
      <c r="U141" s="85"/>
      <c r="W141" s="102">
        <v>23</v>
      </c>
      <c r="X141" s="101">
        <v>1405</v>
      </c>
      <c r="Y141" s="7">
        <v>147</v>
      </c>
      <c r="Z141" s="101">
        <v>354</v>
      </c>
      <c r="AA141" s="5"/>
      <c r="AB141" s="85"/>
    </row>
    <row r="142" spans="1:28" x14ac:dyDescent="0.2">
      <c r="A142" s="5"/>
      <c r="B142" s="5"/>
      <c r="C142" s="5"/>
      <c r="D142" s="5"/>
      <c r="E142" s="7"/>
      <c r="F142" s="5"/>
      <c r="P142" s="102">
        <v>32</v>
      </c>
      <c r="Q142" s="5">
        <v>1930</v>
      </c>
      <c r="R142" s="7">
        <v>146</v>
      </c>
      <c r="S142" s="7">
        <v>570</v>
      </c>
      <c r="T142" s="5"/>
      <c r="U142" s="85"/>
      <c r="W142" s="102">
        <v>22</v>
      </c>
      <c r="X142" s="101">
        <v>1470</v>
      </c>
      <c r="Y142" s="7">
        <v>148</v>
      </c>
      <c r="Z142" s="101">
        <v>354</v>
      </c>
      <c r="AA142" s="5"/>
      <c r="AB142" s="85"/>
    </row>
    <row r="143" spans="1:28" x14ac:dyDescent="0.2">
      <c r="A143" s="5"/>
      <c r="B143" s="5"/>
      <c r="C143" s="5"/>
      <c r="D143" s="5"/>
      <c r="E143" s="7"/>
      <c r="F143" s="5"/>
      <c r="P143" s="90">
        <v>31</v>
      </c>
      <c r="Q143" s="103">
        <v>2000</v>
      </c>
      <c r="R143" s="7">
        <v>147</v>
      </c>
      <c r="S143" s="7">
        <v>568</v>
      </c>
      <c r="T143" s="5"/>
      <c r="U143" s="85"/>
      <c r="W143" s="102">
        <v>21</v>
      </c>
      <c r="X143" s="101">
        <v>1530</v>
      </c>
      <c r="Y143" s="7">
        <v>149</v>
      </c>
      <c r="Z143" s="101">
        <v>353</v>
      </c>
      <c r="AA143" s="5"/>
      <c r="AB143" s="85"/>
    </row>
    <row r="144" spans="1:28" x14ac:dyDescent="0.2">
      <c r="A144" s="5"/>
      <c r="B144" s="5"/>
      <c r="C144" s="5"/>
      <c r="D144" s="5"/>
      <c r="E144" s="7"/>
      <c r="F144" s="5"/>
      <c r="P144" s="90">
        <v>30</v>
      </c>
      <c r="Q144" s="103">
        <v>2087</v>
      </c>
      <c r="R144" s="7">
        <v>148</v>
      </c>
      <c r="S144" s="7">
        <v>566</v>
      </c>
      <c r="T144" s="5"/>
      <c r="U144" s="85"/>
      <c r="W144" s="95">
        <v>20</v>
      </c>
      <c r="X144" s="104">
        <v>1585</v>
      </c>
      <c r="Y144" s="92">
        <v>150</v>
      </c>
      <c r="Z144" s="92">
        <v>352</v>
      </c>
      <c r="AA144" s="38"/>
      <c r="AB144" s="93"/>
    </row>
    <row r="145" spans="1:21" x14ac:dyDescent="0.2">
      <c r="A145" s="5"/>
      <c r="B145" s="5"/>
      <c r="C145" s="5"/>
      <c r="D145" s="5"/>
      <c r="E145" s="7"/>
      <c r="F145" s="5"/>
      <c r="P145" s="102">
        <v>29</v>
      </c>
      <c r="Q145" s="5">
        <v>2175</v>
      </c>
      <c r="R145" s="7">
        <v>149</v>
      </c>
      <c r="S145" s="7">
        <v>563</v>
      </c>
      <c r="T145" s="5"/>
      <c r="U145" s="85"/>
    </row>
    <row r="146" spans="1:21" x14ac:dyDescent="0.2">
      <c r="A146" s="5"/>
      <c r="B146" s="5"/>
      <c r="C146" s="5"/>
      <c r="D146" s="5"/>
      <c r="E146" s="7"/>
      <c r="F146" s="5"/>
      <c r="P146" s="95">
        <v>28</v>
      </c>
      <c r="Q146" s="104">
        <v>2250</v>
      </c>
      <c r="R146" s="92">
        <v>150</v>
      </c>
      <c r="S146" s="92">
        <v>560</v>
      </c>
      <c r="T146" s="38"/>
      <c r="U146" s="93"/>
    </row>
    <row r="147" spans="1:21" x14ac:dyDescent="0.2">
      <c r="A147" s="5"/>
      <c r="B147" s="5"/>
      <c r="C147" s="5"/>
      <c r="D147" s="5"/>
      <c r="E147" s="7"/>
      <c r="F147" s="5"/>
    </row>
    <row r="148" spans="1:21" x14ac:dyDescent="0.2">
      <c r="A148" s="5"/>
      <c r="B148" s="5"/>
      <c r="C148" s="5"/>
      <c r="D148" s="5"/>
      <c r="E148" s="7"/>
      <c r="F148" s="5"/>
    </row>
    <row r="149" spans="1:21" x14ac:dyDescent="0.2">
      <c r="A149" s="5"/>
      <c r="B149" s="5"/>
      <c r="C149" s="5"/>
      <c r="D149" s="5"/>
      <c r="E149" s="7"/>
      <c r="F149" s="5"/>
    </row>
    <row r="150" spans="1:21" x14ac:dyDescent="0.2">
      <c r="A150" s="5"/>
      <c r="B150" s="5"/>
      <c r="C150" s="5"/>
      <c r="D150" s="5"/>
      <c r="E150" s="7"/>
      <c r="F150" s="5"/>
    </row>
    <row r="151" spans="1:21" x14ac:dyDescent="0.2">
      <c r="E151" s="76"/>
    </row>
    <row r="183" spans="5:5" x14ac:dyDescent="0.2">
      <c r="E183" s="76"/>
    </row>
    <row r="207" spans="1:3" x14ac:dyDescent="0.2">
      <c r="A207" s="377" t="s">
        <v>18</v>
      </c>
      <c r="B207" s="377"/>
      <c r="C207" s="377"/>
    </row>
    <row r="208" spans="1:3" x14ac:dyDescent="0.2">
      <c r="A208" t="s">
        <v>19</v>
      </c>
      <c r="B208" t="s">
        <v>20</v>
      </c>
    </row>
    <row r="209" spans="1:7" x14ac:dyDescent="0.2">
      <c r="A209">
        <v>135</v>
      </c>
      <c r="B209">
        <v>1300</v>
      </c>
    </row>
    <row r="210" spans="1:7" x14ac:dyDescent="0.2">
      <c r="A210">
        <v>160</v>
      </c>
      <c r="B210">
        <v>1250</v>
      </c>
    </row>
    <row r="211" spans="1:7" x14ac:dyDescent="0.2">
      <c r="A211">
        <v>190</v>
      </c>
      <c r="B211">
        <v>1200</v>
      </c>
    </row>
    <row r="212" spans="1:7" x14ac:dyDescent="0.2">
      <c r="A212">
        <v>215</v>
      </c>
      <c r="B212">
        <v>1150</v>
      </c>
    </row>
    <row r="213" spans="1:7" x14ac:dyDescent="0.2">
      <c r="A213">
        <v>240</v>
      </c>
      <c r="B213">
        <v>1100</v>
      </c>
    </row>
    <row r="214" spans="1:7" x14ac:dyDescent="0.2">
      <c r="A214">
        <v>260</v>
      </c>
      <c r="B214">
        <v>1050</v>
      </c>
    </row>
    <row r="215" spans="1:7" x14ac:dyDescent="0.2">
      <c r="A215">
        <v>285</v>
      </c>
      <c r="B215">
        <v>1000</v>
      </c>
      <c r="E215" s="76"/>
      <c r="G215" s="3" t="s">
        <v>26</v>
      </c>
    </row>
    <row r="216" spans="1:7" x14ac:dyDescent="0.2">
      <c r="A216">
        <v>310</v>
      </c>
      <c r="B216">
        <v>950</v>
      </c>
      <c r="G216" t="s">
        <v>19</v>
      </c>
    </row>
    <row r="217" spans="1:7" x14ac:dyDescent="0.2">
      <c r="A217">
        <v>340</v>
      </c>
      <c r="B217">
        <v>900</v>
      </c>
      <c r="G217">
        <v>20</v>
      </c>
    </row>
    <row r="218" spans="1:7" x14ac:dyDescent="0.2">
      <c r="A218">
        <v>380</v>
      </c>
      <c r="B218">
        <v>850</v>
      </c>
      <c r="G218">
        <v>25</v>
      </c>
    </row>
    <row r="219" spans="1:7" x14ac:dyDescent="0.2">
      <c r="A219">
        <v>415</v>
      </c>
      <c r="B219">
        <v>800</v>
      </c>
      <c r="G219">
        <v>30</v>
      </c>
    </row>
    <row r="220" spans="1:7" x14ac:dyDescent="0.2">
      <c r="A220">
        <v>445</v>
      </c>
      <c r="B220">
        <v>750</v>
      </c>
      <c r="G220">
        <v>35</v>
      </c>
    </row>
    <row r="221" spans="1:7" x14ac:dyDescent="0.2">
      <c r="A221">
        <v>485</v>
      </c>
      <c r="B221">
        <v>700</v>
      </c>
      <c r="G221">
        <v>40</v>
      </c>
    </row>
    <row r="222" spans="1:7" x14ac:dyDescent="0.2">
      <c r="A222">
        <v>525</v>
      </c>
      <c r="B222">
        <v>650</v>
      </c>
      <c r="G222">
        <v>45</v>
      </c>
    </row>
    <row r="223" spans="1:7" x14ac:dyDescent="0.2">
      <c r="A223">
        <v>570</v>
      </c>
      <c r="B223">
        <v>600</v>
      </c>
      <c r="G223">
        <v>50</v>
      </c>
    </row>
    <row r="224" spans="1:7" x14ac:dyDescent="0.2">
      <c r="A224">
        <v>615</v>
      </c>
      <c r="B224">
        <v>550</v>
      </c>
      <c r="G224">
        <v>55</v>
      </c>
    </row>
    <row r="225" spans="1:7" x14ac:dyDescent="0.2">
      <c r="A225">
        <v>670</v>
      </c>
      <c r="B225">
        <v>500</v>
      </c>
      <c r="G225">
        <v>60</v>
      </c>
    </row>
    <row r="226" spans="1:7" x14ac:dyDescent="0.2">
      <c r="A226">
        <v>725</v>
      </c>
      <c r="B226">
        <v>450</v>
      </c>
      <c r="G226">
        <v>70</v>
      </c>
    </row>
    <row r="227" spans="1:7" x14ac:dyDescent="0.2">
      <c r="A227">
        <v>790</v>
      </c>
      <c r="B227">
        <v>400</v>
      </c>
      <c r="G227">
        <v>75</v>
      </c>
    </row>
    <row r="228" spans="1:7" x14ac:dyDescent="0.2">
      <c r="A228">
        <v>865</v>
      </c>
      <c r="B228">
        <v>350</v>
      </c>
      <c r="G228">
        <v>80</v>
      </c>
    </row>
    <row r="229" spans="1:7" x14ac:dyDescent="0.2">
      <c r="A229">
        <v>945</v>
      </c>
      <c r="B229">
        <v>300</v>
      </c>
      <c r="G229">
        <v>90</v>
      </c>
    </row>
    <row r="230" spans="1:7" x14ac:dyDescent="0.2">
      <c r="A230">
        <v>1030</v>
      </c>
      <c r="B230">
        <v>250</v>
      </c>
      <c r="G230">
        <v>100</v>
      </c>
    </row>
    <row r="231" spans="1:7" x14ac:dyDescent="0.2">
      <c r="A231">
        <v>1135</v>
      </c>
      <c r="B231">
        <v>200</v>
      </c>
      <c r="G231">
        <v>110</v>
      </c>
    </row>
    <row r="232" spans="1:7" x14ac:dyDescent="0.2">
      <c r="A232">
        <v>1250</v>
      </c>
      <c r="B232">
        <v>150</v>
      </c>
      <c r="G232">
        <v>115</v>
      </c>
    </row>
    <row r="233" spans="1:7" x14ac:dyDescent="0.2">
      <c r="A233">
        <v>1400</v>
      </c>
      <c r="B233">
        <v>100</v>
      </c>
      <c r="G233">
        <v>125</v>
      </c>
    </row>
    <row r="234" spans="1:7" x14ac:dyDescent="0.2">
      <c r="G234">
        <v>140</v>
      </c>
    </row>
    <row r="235" spans="1:7" x14ac:dyDescent="0.2">
      <c r="G235">
        <v>150</v>
      </c>
    </row>
    <row r="236" spans="1:7" x14ac:dyDescent="0.2">
      <c r="A236" s="377" t="s">
        <v>27</v>
      </c>
      <c r="B236" s="377"/>
      <c r="C236" s="377"/>
      <c r="G236">
        <v>165</v>
      </c>
    </row>
    <row r="237" spans="1:7" x14ac:dyDescent="0.2">
      <c r="A237" t="s">
        <v>19</v>
      </c>
      <c r="B237" t="s">
        <v>20</v>
      </c>
      <c r="G237">
        <v>190</v>
      </c>
    </row>
    <row r="238" spans="1:7" x14ac:dyDescent="0.2">
      <c r="A238">
        <v>110</v>
      </c>
      <c r="B238">
        <v>1300</v>
      </c>
      <c r="G238">
        <v>205</v>
      </c>
    </row>
    <row r="239" spans="1:7" x14ac:dyDescent="0.2">
      <c r="A239">
        <v>130</v>
      </c>
      <c r="B239">
        <v>1250</v>
      </c>
      <c r="G239">
        <v>225</v>
      </c>
    </row>
    <row r="240" spans="1:7" x14ac:dyDescent="0.2">
      <c r="A240">
        <v>150</v>
      </c>
      <c r="B240">
        <v>1200</v>
      </c>
      <c r="G240">
        <v>245</v>
      </c>
    </row>
    <row r="241" spans="1:7" x14ac:dyDescent="0.2">
      <c r="A241">
        <v>170</v>
      </c>
      <c r="B241">
        <v>1150</v>
      </c>
      <c r="G241">
        <v>270</v>
      </c>
    </row>
    <row r="242" spans="1:7" x14ac:dyDescent="0.2">
      <c r="A242">
        <v>190</v>
      </c>
      <c r="B242">
        <v>1100</v>
      </c>
    </row>
    <row r="243" spans="1:7" x14ac:dyDescent="0.2">
      <c r="A243">
        <v>210</v>
      </c>
      <c r="B243">
        <v>1050</v>
      </c>
    </row>
    <row r="244" spans="1:7" x14ac:dyDescent="0.2">
      <c r="A244">
        <v>225</v>
      </c>
      <c r="B244">
        <v>1000</v>
      </c>
      <c r="E244" s="76"/>
      <c r="G244" s="3" t="s">
        <v>33</v>
      </c>
    </row>
    <row r="245" spans="1:7" x14ac:dyDescent="0.2">
      <c r="A245">
        <v>245</v>
      </c>
      <c r="B245">
        <v>950</v>
      </c>
      <c r="G245" t="s">
        <v>19</v>
      </c>
    </row>
    <row r="246" spans="1:7" x14ac:dyDescent="0.2">
      <c r="A246">
        <v>275</v>
      </c>
      <c r="B246">
        <v>900</v>
      </c>
      <c r="G246">
        <v>15</v>
      </c>
    </row>
    <row r="247" spans="1:7" x14ac:dyDescent="0.2">
      <c r="A247">
        <v>300</v>
      </c>
      <c r="B247">
        <v>850</v>
      </c>
      <c r="G247">
        <v>20</v>
      </c>
    </row>
    <row r="248" spans="1:7" x14ac:dyDescent="0.2">
      <c r="A248">
        <v>325</v>
      </c>
      <c r="B248">
        <v>800</v>
      </c>
      <c r="G248">
        <v>25</v>
      </c>
    </row>
    <row r="249" spans="1:7" x14ac:dyDescent="0.2">
      <c r="A249">
        <v>350</v>
      </c>
      <c r="B249">
        <v>750</v>
      </c>
      <c r="G249">
        <v>30</v>
      </c>
    </row>
    <row r="250" spans="1:7" x14ac:dyDescent="0.2">
      <c r="A250">
        <v>385</v>
      </c>
      <c r="B250">
        <v>700</v>
      </c>
      <c r="G250">
        <v>35</v>
      </c>
    </row>
    <row r="251" spans="1:7" x14ac:dyDescent="0.2">
      <c r="A251">
        <v>415</v>
      </c>
      <c r="B251">
        <v>650</v>
      </c>
      <c r="G251">
        <v>40</v>
      </c>
    </row>
    <row r="252" spans="1:7" x14ac:dyDescent="0.2">
      <c r="A252">
        <v>440</v>
      </c>
      <c r="B252">
        <v>600</v>
      </c>
      <c r="G252">
        <v>45</v>
      </c>
    </row>
    <row r="253" spans="1:7" x14ac:dyDescent="0.2">
      <c r="A253">
        <v>475</v>
      </c>
      <c r="B253">
        <v>550</v>
      </c>
      <c r="G253">
        <v>50</v>
      </c>
    </row>
    <row r="254" spans="1:7" x14ac:dyDescent="0.2">
      <c r="A254">
        <v>525</v>
      </c>
      <c r="B254">
        <v>500</v>
      </c>
      <c r="G254">
        <v>55</v>
      </c>
    </row>
    <row r="255" spans="1:7" x14ac:dyDescent="0.2">
      <c r="A255">
        <v>570</v>
      </c>
      <c r="B255">
        <v>450</v>
      </c>
      <c r="G255">
        <v>60</v>
      </c>
    </row>
    <row r="256" spans="1:7" x14ac:dyDescent="0.2">
      <c r="A256">
        <v>615</v>
      </c>
      <c r="B256">
        <v>400</v>
      </c>
      <c r="G256">
        <v>65</v>
      </c>
    </row>
    <row r="257" spans="1:7" x14ac:dyDescent="0.2">
      <c r="A257">
        <v>670</v>
      </c>
      <c r="B257">
        <v>350</v>
      </c>
      <c r="G257">
        <v>70</v>
      </c>
    </row>
    <row r="258" spans="1:7" x14ac:dyDescent="0.2">
      <c r="A258">
        <v>735</v>
      </c>
      <c r="B258">
        <v>300</v>
      </c>
      <c r="G258">
        <v>75</v>
      </c>
    </row>
    <row r="259" spans="1:7" x14ac:dyDescent="0.2">
      <c r="A259">
        <v>800</v>
      </c>
      <c r="B259">
        <v>250</v>
      </c>
      <c r="G259">
        <v>85</v>
      </c>
    </row>
    <row r="260" spans="1:7" x14ac:dyDescent="0.2">
      <c r="A260">
        <v>875</v>
      </c>
      <c r="B260">
        <v>200</v>
      </c>
      <c r="G260">
        <v>90</v>
      </c>
    </row>
    <row r="261" spans="1:7" x14ac:dyDescent="0.2">
      <c r="A261">
        <v>975</v>
      </c>
      <c r="B261">
        <v>150</v>
      </c>
      <c r="G261">
        <v>100</v>
      </c>
    </row>
    <row r="262" spans="1:7" x14ac:dyDescent="0.2">
      <c r="A262">
        <v>1075</v>
      </c>
      <c r="B262">
        <v>100</v>
      </c>
      <c r="G262">
        <v>105</v>
      </c>
    </row>
    <row r="263" spans="1:7" x14ac:dyDescent="0.2">
      <c r="G263">
        <v>110</v>
      </c>
    </row>
    <row r="264" spans="1:7" x14ac:dyDescent="0.2">
      <c r="G264">
        <v>120</v>
      </c>
    </row>
    <row r="265" spans="1:7" x14ac:dyDescent="0.2">
      <c r="G265">
        <v>135</v>
      </c>
    </row>
    <row r="266" spans="1:7" x14ac:dyDescent="0.2">
      <c r="G266">
        <v>150</v>
      </c>
    </row>
    <row r="267" spans="1:7" x14ac:dyDescent="0.2">
      <c r="G267">
        <v>160</v>
      </c>
    </row>
    <row r="268" spans="1:7" x14ac:dyDescent="0.2">
      <c r="G268">
        <v>175</v>
      </c>
    </row>
    <row r="269" spans="1:7" x14ac:dyDescent="0.2">
      <c r="G269">
        <v>195</v>
      </c>
    </row>
    <row r="270" spans="1:7" x14ac:dyDescent="0.2">
      <c r="G270">
        <v>215</v>
      </c>
    </row>
  </sheetData>
  <sheetProtection password="C74A" sheet="1" objects="1" scenarios="1" selectLockedCells="1" selectUnlockedCells="1"/>
  <sortState ref="Z13:Z142">
    <sortCondition descending="1" ref="Z13"/>
  </sortState>
  <mergeCells count="10">
    <mergeCell ref="W1:AB1"/>
    <mergeCell ref="A207:C207"/>
    <mergeCell ref="A236:C236"/>
    <mergeCell ref="A12:F12"/>
    <mergeCell ref="H20:K20"/>
    <mergeCell ref="H1:N1"/>
    <mergeCell ref="A1:F1"/>
    <mergeCell ref="P1:U1"/>
    <mergeCell ref="P22:S22"/>
    <mergeCell ref="W12:Z12"/>
  </mergeCells>
  <phoneticPr fontId="8"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69"/>
  <sheetViews>
    <sheetView topLeftCell="A4" workbookViewId="0">
      <selection activeCell="L48" sqref="L48"/>
    </sheetView>
  </sheetViews>
  <sheetFormatPr defaultRowHeight="12.75" x14ac:dyDescent="0.2"/>
  <cols>
    <col min="1" max="1" width="28.42578125" bestFit="1" customWidth="1"/>
    <col min="2" max="2" width="21.42578125" bestFit="1" customWidth="1"/>
  </cols>
  <sheetData>
    <row r="1" spans="1:2" ht="15" x14ac:dyDescent="0.2">
      <c r="A1" s="12" t="s">
        <v>94</v>
      </c>
      <c r="B1" s="12" t="s">
        <v>95</v>
      </c>
    </row>
    <row r="2" spans="1:2" x14ac:dyDescent="0.2">
      <c r="A2">
        <v>1</v>
      </c>
      <c r="B2" s="13" t="s">
        <v>96</v>
      </c>
    </row>
    <row r="3" spans="1:2" x14ac:dyDescent="0.2">
      <c r="A3">
        <v>2</v>
      </c>
      <c r="B3" s="13" t="s">
        <v>97</v>
      </c>
    </row>
    <row r="4" spans="1:2" x14ac:dyDescent="0.2">
      <c r="A4">
        <v>3</v>
      </c>
      <c r="B4" s="13" t="s">
        <v>98</v>
      </c>
    </row>
    <row r="5" spans="1:2" x14ac:dyDescent="0.2">
      <c r="A5">
        <v>4</v>
      </c>
      <c r="B5" s="13" t="s">
        <v>99</v>
      </c>
    </row>
    <row r="6" spans="1:2" x14ac:dyDescent="0.2">
      <c r="A6">
        <v>5</v>
      </c>
      <c r="B6" s="13" t="s">
        <v>100</v>
      </c>
    </row>
    <row r="7" spans="1:2" x14ac:dyDescent="0.2">
      <c r="A7">
        <v>6</v>
      </c>
      <c r="B7" s="13" t="s">
        <v>101</v>
      </c>
    </row>
    <row r="8" spans="1:2" x14ac:dyDescent="0.2">
      <c r="A8">
        <v>8</v>
      </c>
      <c r="B8" s="13" t="s">
        <v>102</v>
      </c>
    </row>
    <row r="9" spans="1:2" x14ac:dyDescent="0.2">
      <c r="A9">
        <v>9</v>
      </c>
      <c r="B9" s="13" t="s">
        <v>103</v>
      </c>
    </row>
    <row r="10" spans="1:2" x14ac:dyDescent="0.2">
      <c r="A10">
        <v>10</v>
      </c>
      <c r="B10" s="13" t="s">
        <v>104</v>
      </c>
    </row>
    <row r="11" spans="1:2" x14ac:dyDescent="0.2">
      <c r="A11">
        <v>11</v>
      </c>
      <c r="B11" s="13" t="s">
        <v>105</v>
      </c>
    </row>
    <row r="12" spans="1:2" x14ac:dyDescent="0.2">
      <c r="A12">
        <v>12</v>
      </c>
      <c r="B12" s="13" t="s">
        <v>106</v>
      </c>
    </row>
    <row r="13" spans="1:2" ht="15" x14ac:dyDescent="0.2">
      <c r="A13" s="12" t="s">
        <v>323</v>
      </c>
      <c r="B13" s="13" t="s">
        <v>107</v>
      </c>
    </row>
    <row r="14" spans="1:2" x14ac:dyDescent="0.2">
      <c r="A14" s="126" t="s">
        <v>322</v>
      </c>
      <c r="B14" s="13" t="s">
        <v>108</v>
      </c>
    </row>
    <row r="15" spans="1:2" x14ac:dyDescent="0.2">
      <c r="A15" s="126" t="s">
        <v>321</v>
      </c>
      <c r="B15" s="13" t="s">
        <v>109</v>
      </c>
    </row>
    <row r="16" spans="1:2" x14ac:dyDescent="0.2">
      <c r="A16" s="127" t="s">
        <v>119</v>
      </c>
      <c r="B16" s="13" t="s">
        <v>110</v>
      </c>
    </row>
    <row r="17" spans="1:2" x14ac:dyDescent="0.2">
      <c r="A17" s="15"/>
      <c r="B17" s="13" t="s">
        <v>111</v>
      </c>
    </row>
    <row r="18" spans="1:2" x14ac:dyDescent="0.2">
      <c r="A18" s="15"/>
      <c r="B18" s="13" t="s">
        <v>112</v>
      </c>
    </row>
    <row r="19" spans="1:2" ht="15" x14ac:dyDescent="0.2">
      <c r="A19" s="12" t="s">
        <v>113</v>
      </c>
      <c r="B19" s="13" t="s">
        <v>114</v>
      </c>
    </row>
    <row r="20" spans="1:2" x14ac:dyDescent="0.2">
      <c r="A20" s="16" t="s">
        <v>115</v>
      </c>
      <c r="B20" s="13" t="s">
        <v>116</v>
      </c>
    </row>
    <row r="21" spans="1:2" x14ac:dyDescent="0.2">
      <c r="A21" s="16" t="s">
        <v>117</v>
      </c>
      <c r="B21" s="13" t="s">
        <v>118</v>
      </c>
    </row>
    <row r="22" spans="1:2" x14ac:dyDescent="0.2">
      <c r="A22" s="16" t="s">
        <v>119</v>
      </c>
      <c r="B22" s="13" t="s">
        <v>120</v>
      </c>
    </row>
    <row r="23" spans="1:2" ht="15" x14ac:dyDescent="0.2">
      <c r="A23" s="14"/>
      <c r="B23" s="13" t="s">
        <v>121</v>
      </c>
    </row>
    <row r="24" spans="1:2" x14ac:dyDescent="0.2">
      <c r="A24" s="17"/>
      <c r="B24" s="13" t="s">
        <v>122</v>
      </c>
    </row>
    <row r="25" spans="1:2" x14ac:dyDescent="0.2">
      <c r="A25" s="17"/>
      <c r="B25" s="13" t="s">
        <v>123</v>
      </c>
    </row>
    <row r="26" spans="1:2" ht="15" x14ac:dyDescent="0.2">
      <c r="A26" s="12" t="s">
        <v>124</v>
      </c>
      <c r="B26" s="18" t="s">
        <v>125</v>
      </c>
    </row>
    <row r="27" spans="1:2" x14ac:dyDescent="0.2">
      <c r="A27" s="16" t="s">
        <v>126</v>
      </c>
      <c r="B27" s="13" t="s">
        <v>127</v>
      </c>
    </row>
    <row r="28" spans="1:2" x14ac:dyDescent="0.2">
      <c r="A28" s="16" t="s">
        <v>128</v>
      </c>
      <c r="B28" s="13" t="s">
        <v>129</v>
      </c>
    </row>
    <row r="29" spans="1:2" x14ac:dyDescent="0.2">
      <c r="A29" s="16" t="s">
        <v>130</v>
      </c>
      <c r="B29" s="13" t="s">
        <v>131</v>
      </c>
    </row>
    <row r="30" spans="1:2" x14ac:dyDescent="0.2">
      <c r="A30" s="16" t="s">
        <v>132</v>
      </c>
      <c r="B30" s="13" t="s">
        <v>133</v>
      </c>
    </row>
    <row r="31" spans="1:2" x14ac:dyDescent="0.2">
      <c r="A31" s="16" t="s">
        <v>134</v>
      </c>
      <c r="B31" s="13" t="s">
        <v>135</v>
      </c>
    </row>
    <row r="32" spans="1:2" x14ac:dyDescent="0.2">
      <c r="A32" s="16" t="s">
        <v>136</v>
      </c>
      <c r="B32" t="s">
        <v>137</v>
      </c>
    </row>
    <row r="33" spans="1:2" x14ac:dyDescent="0.2">
      <c r="A33" s="16" t="s">
        <v>138</v>
      </c>
      <c r="B33" t="s">
        <v>139</v>
      </c>
    </row>
    <row r="34" spans="1:2" ht="15" x14ac:dyDescent="0.2">
      <c r="A34" s="12" t="s">
        <v>184</v>
      </c>
      <c r="B34" t="s">
        <v>140</v>
      </c>
    </row>
    <row r="35" spans="1:2" x14ac:dyDescent="0.2">
      <c r="A35" s="36" t="s">
        <v>84</v>
      </c>
      <c r="B35" t="s">
        <v>141</v>
      </c>
    </row>
    <row r="36" spans="1:2" x14ac:dyDescent="0.2">
      <c r="A36" s="36" t="s">
        <v>85</v>
      </c>
      <c r="B36" t="s">
        <v>142</v>
      </c>
    </row>
    <row r="37" spans="1:2" ht="15" x14ac:dyDescent="0.2">
      <c r="A37" s="12" t="s">
        <v>73</v>
      </c>
      <c r="B37" t="s">
        <v>143</v>
      </c>
    </row>
    <row r="38" spans="1:2" x14ac:dyDescent="0.2">
      <c r="A38" s="36">
        <v>15</v>
      </c>
      <c r="B38" t="s">
        <v>144</v>
      </c>
    </row>
    <row r="39" spans="1:2" x14ac:dyDescent="0.2">
      <c r="A39" s="36">
        <v>20</v>
      </c>
      <c r="B39" t="s">
        <v>145</v>
      </c>
    </row>
    <row r="40" spans="1:2" x14ac:dyDescent="0.2">
      <c r="A40" s="19">
        <v>25</v>
      </c>
      <c r="B40" t="s">
        <v>146</v>
      </c>
    </row>
    <row r="41" spans="1:2" x14ac:dyDescent="0.2">
      <c r="A41" s="36">
        <v>30</v>
      </c>
      <c r="B41" t="s">
        <v>147</v>
      </c>
    </row>
    <row r="42" spans="1:2" x14ac:dyDescent="0.2">
      <c r="A42" s="36">
        <v>35</v>
      </c>
      <c r="B42" t="s">
        <v>148</v>
      </c>
    </row>
    <row r="43" spans="1:2" x14ac:dyDescent="0.2">
      <c r="A43" s="19">
        <v>40</v>
      </c>
      <c r="B43" t="s">
        <v>149</v>
      </c>
    </row>
    <row r="44" spans="1:2" x14ac:dyDescent="0.2">
      <c r="A44" s="36">
        <v>45</v>
      </c>
      <c r="B44" t="s">
        <v>150</v>
      </c>
    </row>
    <row r="45" spans="1:2" x14ac:dyDescent="0.2">
      <c r="A45" s="36">
        <v>50</v>
      </c>
      <c r="B45" t="s">
        <v>151</v>
      </c>
    </row>
    <row r="46" spans="1:2" x14ac:dyDescent="0.2">
      <c r="A46" s="19">
        <v>55</v>
      </c>
      <c r="B46" t="s">
        <v>152</v>
      </c>
    </row>
    <row r="47" spans="1:2" x14ac:dyDescent="0.2">
      <c r="A47" s="36">
        <v>60</v>
      </c>
      <c r="B47" t="s">
        <v>153</v>
      </c>
    </row>
    <row r="48" spans="1:2" x14ac:dyDescent="0.2">
      <c r="A48" s="36"/>
      <c r="B48" t="s">
        <v>154</v>
      </c>
    </row>
    <row r="49" spans="1:2" x14ac:dyDescent="0.2">
      <c r="A49" s="19"/>
      <c r="B49" t="s">
        <v>155</v>
      </c>
    </row>
    <row r="50" spans="1:2" x14ac:dyDescent="0.2">
      <c r="A50" s="36"/>
      <c r="B50" t="s">
        <v>156</v>
      </c>
    </row>
    <row r="51" spans="1:2" ht="15" x14ac:dyDescent="0.2">
      <c r="A51" s="12" t="s">
        <v>68</v>
      </c>
      <c r="B51" t="s">
        <v>157</v>
      </c>
    </row>
    <row r="52" spans="1:2" x14ac:dyDescent="0.2">
      <c r="A52" s="36" t="s">
        <v>186</v>
      </c>
      <c r="B52" t="s">
        <v>158</v>
      </c>
    </row>
    <row r="53" spans="1:2" x14ac:dyDescent="0.2">
      <c r="A53" s="36" t="s">
        <v>76</v>
      </c>
      <c r="B53" t="s">
        <v>159</v>
      </c>
    </row>
    <row r="54" spans="1:2" x14ac:dyDescent="0.2">
      <c r="A54" s="37" t="s">
        <v>187</v>
      </c>
      <c r="B54" t="s">
        <v>160</v>
      </c>
    </row>
    <row r="55" spans="1:2" ht="15" x14ac:dyDescent="0.2">
      <c r="A55" s="12" t="s">
        <v>198</v>
      </c>
      <c r="B55" t="s">
        <v>161</v>
      </c>
    </row>
    <row r="56" spans="1:2" x14ac:dyDescent="0.2">
      <c r="A56" s="36" t="s">
        <v>200</v>
      </c>
      <c r="B56" t="s">
        <v>162</v>
      </c>
    </row>
    <row r="57" spans="1:2" x14ac:dyDescent="0.2">
      <c r="A57" s="36" t="s">
        <v>201</v>
      </c>
      <c r="B57" t="s">
        <v>163</v>
      </c>
    </row>
    <row r="58" spans="1:2" x14ac:dyDescent="0.2">
      <c r="A58" s="37"/>
      <c r="B58" t="s">
        <v>164</v>
      </c>
    </row>
    <row r="59" spans="1:2" x14ac:dyDescent="0.2">
      <c r="A59" s="36"/>
      <c r="B59" t="s">
        <v>165</v>
      </c>
    </row>
    <row r="60" spans="1:2" ht="15" x14ac:dyDescent="0.2">
      <c r="A60" s="12" t="s">
        <v>237</v>
      </c>
      <c r="B60" t="s">
        <v>166</v>
      </c>
    </row>
    <row r="61" spans="1:2" x14ac:dyDescent="0.2">
      <c r="A61" s="36">
        <v>1</v>
      </c>
      <c r="B61" t="s">
        <v>167</v>
      </c>
    </row>
    <row r="62" spans="1:2" x14ac:dyDescent="0.2">
      <c r="A62" s="36">
        <v>2</v>
      </c>
      <c r="B62" t="s">
        <v>168</v>
      </c>
    </row>
    <row r="63" spans="1:2" x14ac:dyDescent="0.2">
      <c r="A63" s="19"/>
      <c r="B63" t="s">
        <v>169</v>
      </c>
    </row>
    <row r="64" spans="1:2" ht="15" x14ac:dyDescent="0.2">
      <c r="A64" s="12" t="s">
        <v>265</v>
      </c>
      <c r="B64" t="s">
        <v>170</v>
      </c>
    </row>
    <row r="65" spans="1:2" x14ac:dyDescent="0.2">
      <c r="A65" s="36" t="s">
        <v>267</v>
      </c>
      <c r="B65" t="s">
        <v>171</v>
      </c>
    </row>
    <row r="66" spans="1:2" x14ac:dyDescent="0.2">
      <c r="A66" s="36">
        <v>60</v>
      </c>
      <c r="B66" t="s">
        <v>172</v>
      </c>
    </row>
    <row r="67" spans="1:2" x14ac:dyDescent="0.2">
      <c r="A67" s="36">
        <v>40</v>
      </c>
      <c r="B67" t="s">
        <v>173</v>
      </c>
    </row>
    <row r="68" spans="1:2" x14ac:dyDescent="0.2">
      <c r="A68" s="65">
        <v>30</v>
      </c>
      <c r="B68" t="s">
        <v>174</v>
      </c>
    </row>
    <row r="69" spans="1:2" x14ac:dyDescent="0.2">
      <c r="A69"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12</vt:i4>
      </vt:variant>
      <vt:variant>
        <vt:lpstr>Named Ranges</vt:lpstr>
      </vt:variant>
      <vt:variant>
        <vt:i4>17</vt:i4>
      </vt:variant>
    </vt:vector>
  </HeadingPairs>
  <TitlesOfParts>
    <vt:vector size="35" baseType="lpstr">
      <vt:lpstr>Information</vt:lpstr>
      <vt:lpstr>Inputs&amp;Findings</vt:lpstr>
      <vt:lpstr>Left-Warrant 2-lane</vt:lpstr>
      <vt:lpstr>Left-Warrant 4-Lane</vt:lpstr>
      <vt:lpstr>Right-Warrant</vt:lpstr>
      <vt:lpstr>Lists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approach</vt:lpstr>
      <vt:lpstr>counties</vt:lpstr>
      <vt:lpstr>cycles</vt:lpstr>
      <vt:lpstr>cycles2</vt:lpstr>
      <vt:lpstr>decision</vt:lpstr>
      <vt:lpstr>decision2</vt:lpstr>
      <vt:lpstr>districts</vt:lpstr>
      <vt:lpstr>divided</vt:lpstr>
      <vt:lpstr>divided2</vt:lpstr>
      <vt:lpstr>intcontrol</vt:lpstr>
      <vt:lpstr>lane</vt:lpstr>
      <vt:lpstr>Information!Print_Area</vt:lpstr>
      <vt:lpstr>'Inputs&amp;Findings'!Print_Area</vt:lpstr>
      <vt:lpstr>speedlimit</vt:lpstr>
      <vt:lpstr>speedlimit1</vt:lpstr>
      <vt:lpstr>terrain</vt:lpstr>
      <vt:lpstr>weekday</vt:lpstr>
    </vt:vector>
  </TitlesOfParts>
  <Company>PENNDOT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ttrautz</dc:creator>
  <cp:lastModifiedBy>Flanagan, Benjamin</cp:lastModifiedBy>
  <cp:lastPrinted>2017-10-17T21:17:15Z</cp:lastPrinted>
  <dcterms:created xsi:type="dcterms:W3CDTF">2006-01-13T17:58:41Z</dcterms:created>
  <dcterms:modified xsi:type="dcterms:W3CDTF">2018-04-11T13:21:47Z</dcterms:modified>
</cp:coreProperties>
</file>